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35" windowWidth="21075" windowHeight="9780"/>
  </bookViews>
  <sheets>
    <sheet name="Ведомость" sheetId="2" r:id="rId1"/>
    <sheet name="Отчет" sheetId="1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Z5" i="2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"/>
  <c r="R46"/>
  <c r="S46"/>
  <c r="T46"/>
  <c r="U46"/>
  <c r="V46"/>
  <c r="W46"/>
  <c r="Q46"/>
  <c r="V49"/>
  <c r="W49"/>
  <c r="S48"/>
  <c r="T48"/>
  <c r="U48"/>
  <c r="V48"/>
  <c r="W48"/>
  <c r="R47"/>
  <c r="S47"/>
  <c r="T47"/>
  <c r="U47"/>
  <c r="V47"/>
  <c r="W47"/>
  <c r="Q47"/>
  <c r="V45"/>
  <c r="U45"/>
  <c r="T45"/>
  <c r="S45"/>
  <c r="R45"/>
  <c r="Q45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"/>
  <c r="G3" i="1"/>
  <c r="J12" l="1"/>
  <c r="J13"/>
  <c r="B3"/>
  <c r="W45" i="2"/>
  <c r="B44"/>
  <c r="D46"/>
  <c r="E46"/>
  <c r="F46"/>
  <c r="G46"/>
  <c r="H46"/>
  <c r="I46"/>
  <c r="J46"/>
  <c r="K46"/>
  <c r="L46"/>
  <c r="M46"/>
  <c r="N46"/>
  <c r="O46"/>
  <c r="P46"/>
  <c r="D50"/>
  <c r="C36" i="1" s="1"/>
  <c r="E50" i="2"/>
  <c r="F50"/>
  <c r="G50"/>
  <c r="H50"/>
  <c r="I50"/>
  <c r="J50"/>
  <c r="K50"/>
  <c r="L50"/>
  <c r="K36" i="1" s="1"/>
  <c r="M50" i="2"/>
  <c r="N50"/>
  <c r="O50"/>
  <c r="P50"/>
  <c r="Q50"/>
  <c r="R50"/>
  <c r="S50"/>
  <c r="T50"/>
  <c r="E74" i="1" s="1"/>
  <c r="U50" i="2"/>
  <c r="F74" i="1" s="1"/>
  <c r="V50" i="2"/>
  <c r="G74" i="1" s="1"/>
  <c r="W50" i="2"/>
  <c r="H74" i="1" s="1"/>
  <c r="C50" i="2"/>
  <c r="C46"/>
  <c r="B147" i="1" l="1"/>
  <c r="F145"/>
  <c r="J143"/>
  <c r="B143"/>
  <c r="G141"/>
  <c r="K139"/>
  <c r="C139"/>
  <c r="G137"/>
  <c r="K135"/>
  <c r="B135"/>
  <c r="F133"/>
  <c r="J131"/>
  <c r="B131"/>
  <c r="C71"/>
  <c r="E72"/>
  <c r="G73"/>
  <c r="B73"/>
  <c r="B145"/>
  <c r="G139"/>
  <c r="J133"/>
  <c r="C145"/>
  <c r="H139"/>
  <c r="K133"/>
  <c r="D145"/>
  <c r="I139"/>
  <c r="L133"/>
  <c r="E71"/>
  <c r="M145"/>
  <c r="F141"/>
  <c r="I135"/>
  <c r="H69"/>
  <c r="D71"/>
  <c r="F72"/>
  <c r="B72"/>
  <c r="C147"/>
  <c r="G145"/>
  <c r="K143"/>
  <c r="C143"/>
  <c r="H141"/>
  <c r="L139"/>
  <c r="D139"/>
  <c r="H137"/>
  <c r="L135"/>
  <c r="C135"/>
  <c r="G133"/>
  <c r="K131"/>
  <c r="C131"/>
  <c r="D70"/>
  <c r="D72"/>
  <c r="F73"/>
  <c r="F143"/>
  <c r="K137"/>
  <c r="B133"/>
  <c r="G143"/>
  <c r="L137"/>
  <c r="C133"/>
  <c r="H143"/>
  <c r="M137"/>
  <c r="D133"/>
  <c r="E145"/>
  <c r="J139"/>
  <c r="M133"/>
  <c r="H73"/>
  <c r="D147"/>
  <c r="H145"/>
  <c r="L143"/>
  <c r="D143"/>
  <c r="I141"/>
  <c r="M139"/>
  <c r="E139"/>
  <c r="I137"/>
  <c r="M135"/>
  <c r="D135"/>
  <c r="H133"/>
  <c r="L131"/>
  <c r="D131"/>
  <c r="H70"/>
  <c r="C72"/>
  <c r="E73"/>
  <c r="J145"/>
  <c r="C141"/>
  <c r="F135"/>
  <c r="F70"/>
  <c r="G71"/>
  <c r="C73"/>
  <c r="K145"/>
  <c r="D141"/>
  <c r="G135"/>
  <c r="E70"/>
  <c r="F71"/>
  <c r="H72"/>
  <c r="B71"/>
  <c r="L145"/>
  <c r="E141"/>
  <c r="H135"/>
  <c r="G69"/>
  <c r="G72"/>
  <c r="J11"/>
  <c r="M141"/>
  <c r="F137"/>
  <c r="I131"/>
  <c r="E147"/>
  <c r="I145"/>
  <c r="M143"/>
  <c r="E143"/>
  <c r="J141"/>
  <c r="B141"/>
  <c r="F139"/>
  <c r="J137"/>
  <c r="B137"/>
  <c r="E135"/>
  <c r="I133"/>
  <c r="M131"/>
  <c r="E131"/>
  <c r="G70"/>
  <c r="H71"/>
  <c r="D73"/>
  <c r="F147"/>
  <c r="J135"/>
  <c r="C137"/>
  <c r="F131"/>
  <c r="K141"/>
  <c r="D137"/>
  <c r="G131"/>
  <c r="L141"/>
  <c r="E137"/>
  <c r="H131"/>
  <c r="I143"/>
  <c r="B139"/>
  <c r="E133"/>
  <c r="C74"/>
  <c r="B74"/>
  <c r="D74"/>
  <c r="B34"/>
  <c r="D39"/>
  <c r="D41"/>
  <c r="C41"/>
  <c r="E39"/>
  <c r="C45" i="2"/>
  <c r="B41" i="1"/>
  <c r="J34"/>
  <c r="G34"/>
  <c r="I34"/>
  <c r="H36"/>
  <c r="K34"/>
  <c r="B36"/>
  <c r="H34"/>
  <c r="G36"/>
  <c r="B39"/>
  <c r="J36"/>
  <c r="C39"/>
  <c r="I36"/>
  <c r="E41"/>
  <c r="M45" i="2"/>
  <c r="B40" i="1" s="1"/>
  <c r="C34"/>
  <c r="D36"/>
  <c r="D34"/>
  <c r="E36"/>
  <c r="E34"/>
  <c r="F36"/>
  <c r="F34"/>
  <c r="K45" i="2"/>
  <c r="J35" i="1" s="1"/>
  <c r="L45" i="2"/>
  <c r="K35" i="1" s="1"/>
  <c r="J45" i="2"/>
  <c r="O45"/>
  <c r="D40" i="1" s="1"/>
  <c r="G45" i="2"/>
  <c r="N45"/>
  <c r="C40" i="1" s="1"/>
  <c r="P45" i="2"/>
  <c r="H45"/>
  <c r="I45"/>
  <c r="D45"/>
  <c r="F45"/>
  <c r="E45"/>
  <c r="F9" i="1" l="1"/>
  <c r="C9"/>
  <c r="E9"/>
  <c r="D9"/>
  <c r="B9"/>
  <c r="F100"/>
  <c r="B35"/>
  <c r="I100"/>
  <c r="M102"/>
  <c r="I104"/>
  <c r="D104"/>
  <c r="C102"/>
  <c r="E102"/>
  <c r="K104"/>
  <c r="L102"/>
  <c r="B104"/>
  <c r="C104"/>
  <c r="J104"/>
  <c r="G104"/>
  <c r="D102"/>
  <c r="G102"/>
  <c r="F102"/>
  <c r="K102"/>
  <c r="H100"/>
  <c r="E104"/>
  <c r="K100"/>
  <c r="G35"/>
  <c r="H35"/>
  <c r="I102"/>
  <c r="H102"/>
  <c r="C100"/>
  <c r="C35"/>
  <c r="J100"/>
  <c r="G100"/>
  <c r="M100"/>
  <c r="L100"/>
  <c r="E40"/>
  <c r="I35"/>
  <c r="E35"/>
  <c r="B100"/>
  <c r="E100"/>
  <c r="D100"/>
  <c r="B102"/>
  <c r="D35"/>
  <c r="F35"/>
  <c r="H104"/>
  <c r="F104"/>
  <c r="J102"/>
  <c r="J8" l="1"/>
  <c r="J9"/>
  <c r="A11"/>
  <c r="B8" s="1"/>
  <c r="D8" l="1"/>
  <c r="F8"/>
  <c r="E8"/>
  <c r="C8"/>
</calcChain>
</file>

<file path=xl/sharedStrings.xml><?xml version="1.0" encoding="utf-8"?>
<sst xmlns="http://schemas.openxmlformats.org/spreadsheetml/2006/main" count="799" uniqueCount="41">
  <si>
    <t>результаты работы</t>
  </si>
  <si>
    <t>"5"</t>
  </si>
  <si>
    <t>"4"</t>
  </si>
  <si>
    <t>"3"</t>
  </si>
  <si>
    <t>"2"</t>
  </si>
  <si>
    <t>нет оценки</t>
  </si>
  <si>
    <t>% уч-ся</t>
  </si>
  <si>
    <t/>
  </si>
  <si>
    <t>кол-во уч-ся</t>
  </si>
  <si>
    <t>Решаемость заданий Ч. 1</t>
  </si>
  <si>
    <t>№ задания</t>
  </si>
  <si>
    <t>верно</t>
  </si>
  <si>
    <t>неверно</t>
  </si>
  <si>
    <t>нет ответа</t>
  </si>
  <si>
    <t>Решаемость заданий Ч. 2</t>
  </si>
  <si>
    <t>4 балла</t>
  </si>
  <si>
    <t>-</t>
  </si>
  <si>
    <t>3 балла</t>
  </si>
  <si>
    <t>2 балла</t>
  </si>
  <si>
    <t>1 балл</t>
  </si>
  <si>
    <t>0 баллов</t>
  </si>
  <si>
    <t xml:space="preserve">Аналитический отчет о результатах тренировочной работы по математике в формате ОГЭ </t>
  </si>
  <si>
    <t xml:space="preserve">Класс __________________     </t>
  </si>
  <si>
    <t>Учитель</t>
  </si>
  <si>
    <t>баллы</t>
  </si>
  <si>
    <t>Фамилия, имя обучающегося</t>
  </si>
  <si>
    <t>Сводная ведомость результатов</t>
  </si>
  <si>
    <t xml:space="preserve">№ </t>
  </si>
  <si>
    <t>Класс</t>
  </si>
  <si>
    <t>Оценка</t>
  </si>
  <si>
    <t>Качество знаний</t>
  </si>
  <si>
    <t>Успеваемость</t>
  </si>
  <si>
    <t>I часть</t>
  </si>
  <si>
    <t>II часть</t>
  </si>
  <si>
    <t>Ʃ первич.</t>
  </si>
  <si>
    <t>Набранные первичные баллы</t>
  </si>
  <si>
    <t>Ʃ тестовые</t>
  </si>
  <si>
    <t>Набранные тестовые баллы</t>
  </si>
  <si>
    <t>Средний балл</t>
  </si>
  <si>
    <t>Максимальный балл</t>
  </si>
  <si>
    <t>Минимальный балл</t>
  </si>
</sst>
</file>

<file path=xl/styles.xml><?xml version="1.0" encoding="utf-8"?>
<styleSheet xmlns="http://schemas.openxmlformats.org/spreadsheetml/2006/main">
  <numFmts count="1">
    <numFmt numFmtId="164" formatCode="0.0%"/>
  </numFmts>
  <fonts count="18">
    <font>
      <sz val="11"/>
      <color theme="1"/>
      <name val="Calibri"/>
      <family val="2"/>
      <charset val="204"/>
      <scheme val="minor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2"/>
      <color indexed="9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color theme="0"/>
      <name val="Arial"/>
      <family val="2"/>
      <charset val="204"/>
    </font>
    <font>
      <b/>
      <sz val="14"/>
      <color rgb="FFFF0000"/>
      <name val="Calibri"/>
      <family val="2"/>
      <charset val="204"/>
    </font>
    <font>
      <b/>
      <sz val="12"/>
      <color theme="1"/>
      <name val="Arial"/>
      <family val="2"/>
      <charset val="204"/>
    </font>
    <font>
      <b/>
      <sz val="12"/>
      <color rgb="FFFF0000"/>
      <name val="Arial"/>
      <family val="2"/>
      <charset val="204"/>
    </font>
    <font>
      <b/>
      <sz val="12"/>
      <color rgb="FFFFFF00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 applyProtection="1">
      <protection hidden="1"/>
    </xf>
    <xf numFmtId="0" fontId="2" fillId="0" borderId="3" xfId="0" applyFont="1" applyBorder="1" applyAlignment="1" applyProtection="1">
      <alignment horizontal="right"/>
      <protection hidden="1"/>
    </xf>
    <xf numFmtId="0" fontId="1" fillId="2" borderId="3" xfId="0" applyNumberFormat="1" applyFont="1" applyFill="1" applyBorder="1" applyAlignment="1" applyProtection="1">
      <alignment horizontal="center"/>
      <protection hidden="1"/>
    </xf>
    <xf numFmtId="9" fontId="1" fillId="3" borderId="3" xfId="0" applyNumberFormat="1" applyFont="1" applyFill="1" applyBorder="1" applyAlignment="1" applyProtection="1">
      <alignment horizontal="center"/>
      <protection hidden="1"/>
    </xf>
    <xf numFmtId="9" fontId="1" fillId="0" borderId="3" xfId="0" applyNumberFormat="1" applyFont="1" applyBorder="1" applyAlignment="1" applyProtection="1">
      <alignment horizontal="center"/>
      <protection hidden="1"/>
    </xf>
    <xf numFmtId="9" fontId="1" fillId="0" borderId="3" xfId="0" applyNumberFormat="1" applyFont="1" applyFill="1" applyBorder="1" applyAlignment="1" applyProtection="1">
      <alignment horizontal="center"/>
      <protection hidden="1"/>
    </xf>
    <xf numFmtId="0" fontId="1" fillId="0" borderId="3" xfId="0" applyNumberFormat="1" applyFont="1" applyFill="1" applyBorder="1" applyAlignment="1" applyProtection="1">
      <alignment horizontal="center"/>
      <protection hidden="1"/>
    </xf>
    <xf numFmtId="0" fontId="1" fillId="2" borderId="3" xfId="0" applyFont="1" applyFill="1" applyBorder="1" applyProtection="1">
      <protection hidden="1"/>
    </xf>
    <xf numFmtId="0" fontId="2" fillId="2" borderId="3" xfId="0" applyFont="1" applyFill="1" applyBorder="1" applyAlignment="1" applyProtection="1">
      <alignment horizontal="right"/>
      <protection hidden="1"/>
    </xf>
    <xf numFmtId="0" fontId="2" fillId="2" borderId="3" xfId="0" applyFont="1" applyFill="1" applyBorder="1" applyAlignment="1" applyProtection="1">
      <alignment horizontal="center"/>
      <protection hidden="1"/>
    </xf>
    <xf numFmtId="0" fontId="2" fillId="2" borderId="3" xfId="0" applyFont="1" applyFill="1" applyBorder="1" applyAlignment="1" applyProtection="1">
      <alignment horizontal="center" wrapText="1"/>
      <protection hidden="1"/>
    </xf>
    <xf numFmtId="0" fontId="1" fillId="2" borderId="3" xfId="0" applyFont="1" applyFill="1" applyBorder="1" applyAlignment="1" applyProtection="1">
      <alignment horizontal="right"/>
      <protection hidden="1"/>
    </xf>
    <xf numFmtId="0" fontId="1" fillId="2" borderId="4" xfId="0" applyFont="1" applyFill="1" applyBorder="1" applyAlignment="1" applyProtection="1">
      <alignment horizontal="right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vertical="center" wrapText="1"/>
      <protection hidden="1"/>
    </xf>
    <xf numFmtId="0" fontId="1" fillId="0" borderId="0" xfId="0" applyFont="1" applyBorder="1" applyAlignment="1" applyProtection="1">
      <alignment horizontal="center" vertical="center" wrapText="1"/>
      <protection hidden="1"/>
    </xf>
    <xf numFmtId="0" fontId="2" fillId="0" borderId="0" xfId="0" applyFont="1" applyProtection="1">
      <protection hidden="1"/>
    </xf>
    <xf numFmtId="0" fontId="3" fillId="0" borderId="0" xfId="0" applyFont="1" applyBorder="1" applyProtection="1">
      <protection hidden="1"/>
    </xf>
    <xf numFmtId="0" fontId="3" fillId="0" borderId="0" xfId="0" applyFont="1" applyProtection="1">
      <protection hidden="1"/>
    </xf>
    <xf numFmtId="0" fontId="1" fillId="0" borderId="0" xfId="0" applyNumberFormat="1" applyFont="1" applyBorder="1" applyAlignment="1" applyProtection="1">
      <alignment horizontal="center"/>
      <protection hidden="1"/>
    </xf>
    <xf numFmtId="164" fontId="1" fillId="0" borderId="0" xfId="0" applyNumberFormat="1" applyFont="1" applyBorder="1" applyAlignment="1" applyProtection="1">
      <alignment horizontal="center"/>
      <protection hidden="1"/>
    </xf>
    <xf numFmtId="0" fontId="2" fillId="2" borderId="7" xfId="0" applyFont="1" applyFill="1" applyBorder="1" applyAlignment="1" applyProtection="1">
      <alignment horizontal="right" vertical="center" wrapText="1"/>
      <protection hidden="1"/>
    </xf>
    <xf numFmtId="0" fontId="2" fillId="2" borderId="8" xfId="0" applyFont="1" applyFill="1" applyBorder="1" applyAlignment="1" applyProtection="1">
      <alignment horizontal="right" vertical="center" wrapText="1"/>
      <protection hidden="1"/>
    </xf>
    <xf numFmtId="0" fontId="1" fillId="2" borderId="6" xfId="0" applyNumberFormat="1" applyFont="1" applyFill="1" applyBorder="1" applyAlignment="1" applyProtection="1">
      <alignment horizontal="center"/>
      <protection hidden="1"/>
    </xf>
    <xf numFmtId="0" fontId="1" fillId="2" borderId="10" xfId="0" applyNumberFormat="1" applyFont="1" applyFill="1" applyBorder="1" applyAlignment="1" applyProtection="1">
      <alignment horizontal="center"/>
      <protection hidden="1"/>
    </xf>
    <xf numFmtId="9" fontId="1" fillId="0" borderId="7" xfId="0" applyNumberFormat="1" applyFont="1" applyBorder="1" applyAlignment="1" applyProtection="1">
      <alignment horizontal="center"/>
      <protection hidden="1"/>
    </xf>
    <xf numFmtId="0" fontId="4" fillId="0" borderId="12" xfId="0" applyFont="1" applyBorder="1" applyProtection="1">
      <protection hidden="1"/>
    </xf>
    <xf numFmtId="0" fontId="3" fillId="0" borderId="12" xfId="0" applyFont="1" applyBorder="1" applyProtection="1">
      <protection hidden="1"/>
    </xf>
    <xf numFmtId="0" fontId="1" fillId="0" borderId="0" xfId="0" applyFont="1" applyBorder="1" applyProtection="1">
      <protection hidden="1"/>
    </xf>
    <xf numFmtId="0" fontId="1" fillId="0" borderId="5" xfId="0" applyFont="1" applyBorder="1" applyAlignment="1" applyProtection="1">
      <alignment horizontal="center"/>
      <protection hidden="1"/>
    </xf>
    <xf numFmtId="0" fontId="1" fillId="0" borderId="3" xfId="0" applyFont="1" applyBorder="1" applyAlignment="1" applyProtection="1">
      <alignment horizontal="center"/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" fillId="0" borderId="0" xfId="0" applyFont="1" applyAlignment="1" applyProtection="1">
      <alignment horizontal="center"/>
      <protection hidden="1"/>
    </xf>
    <xf numFmtId="0" fontId="7" fillId="0" borderId="0" xfId="0" applyFont="1" applyProtection="1">
      <protection hidden="1"/>
    </xf>
    <xf numFmtId="0" fontId="6" fillId="0" borderId="21" xfId="0" applyFont="1" applyBorder="1" applyAlignment="1" applyProtection="1">
      <alignment vertical="center"/>
      <protection hidden="1"/>
    </xf>
    <xf numFmtId="0" fontId="6" fillId="0" borderId="24" xfId="0" applyFont="1" applyBorder="1" applyAlignment="1" applyProtection="1">
      <alignment vertical="center"/>
      <protection hidden="1"/>
    </xf>
    <xf numFmtId="0" fontId="6" fillId="0" borderId="25" xfId="0" applyFont="1" applyBorder="1" applyAlignment="1" applyProtection="1">
      <alignment vertical="center"/>
      <protection hidden="1"/>
    </xf>
    <xf numFmtId="0" fontId="1" fillId="4" borderId="30" xfId="0" applyFont="1" applyFill="1" applyBorder="1" applyAlignment="1" applyProtection="1">
      <alignment horizontal="center" vertical="center" wrapText="1"/>
      <protection hidden="1"/>
    </xf>
    <xf numFmtId="0" fontId="1" fillId="4" borderId="20" xfId="0" applyFont="1" applyFill="1" applyBorder="1" applyAlignment="1" applyProtection="1">
      <alignment horizontal="center" vertical="center" wrapText="1"/>
      <protection hidden="1"/>
    </xf>
    <xf numFmtId="0" fontId="1" fillId="3" borderId="20" xfId="0" applyFont="1" applyFill="1" applyBorder="1" applyAlignment="1" applyProtection="1">
      <alignment horizontal="center" vertical="center" wrapText="1"/>
      <protection hidden="1"/>
    </xf>
    <xf numFmtId="0" fontId="1" fillId="4" borderId="39" xfId="0" applyFont="1" applyFill="1" applyBorder="1" applyAlignment="1" applyProtection="1">
      <alignment horizontal="center" vertical="center" wrapText="1"/>
      <protection hidden="1"/>
    </xf>
    <xf numFmtId="0" fontId="1" fillId="3" borderId="30" xfId="0" applyFont="1" applyFill="1" applyBorder="1" applyAlignment="1" applyProtection="1">
      <alignment horizontal="center" vertical="center" wrapText="1"/>
      <protection hidden="1"/>
    </xf>
    <xf numFmtId="0" fontId="1" fillId="3" borderId="39" xfId="0" applyFont="1" applyFill="1" applyBorder="1" applyAlignment="1" applyProtection="1">
      <alignment horizontal="center" vertical="center" wrapText="1"/>
      <protection hidden="1"/>
    </xf>
    <xf numFmtId="0" fontId="1" fillId="0" borderId="0" xfId="0" applyNumberFormat="1" applyFont="1" applyFill="1" applyBorder="1" applyAlignment="1" applyProtection="1">
      <alignment horizontal="center"/>
      <protection hidden="1"/>
    </xf>
    <xf numFmtId="0" fontId="1" fillId="0" borderId="0" xfId="0" applyFont="1" applyFill="1" applyBorder="1" applyProtection="1"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horizontal="center" wrapText="1"/>
      <protection hidden="1"/>
    </xf>
    <xf numFmtId="9" fontId="1" fillId="0" borderId="0" xfId="0" applyNumberFormat="1" applyFont="1" applyFill="1" applyBorder="1" applyAlignment="1" applyProtection="1">
      <alignment horizontal="center"/>
      <protection hidden="1"/>
    </xf>
    <xf numFmtId="0" fontId="2" fillId="0" borderId="0" xfId="0" applyFont="1" applyFill="1" applyBorder="1" applyAlignment="1" applyProtection="1">
      <alignment vertical="center" wrapText="1"/>
      <protection hidden="1"/>
    </xf>
    <xf numFmtId="9" fontId="1" fillId="0" borderId="0" xfId="0" applyNumberFormat="1" applyFont="1" applyFill="1" applyBorder="1" applyAlignment="1" applyProtection="1">
      <alignment horizontal="center" vertical="center"/>
      <protection hidden="1"/>
    </xf>
    <xf numFmtId="0" fontId="2" fillId="2" borderId="3" xfId="0" applyFont="1" applyFill="1" applyBorder="1" applyAlignment="1" applyProtection="1">
      <alignment horizontal="right" vertical="center" wrapText="1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2" fillId="0" borderId="0" xfId="0" applyNumberFormat="1" applyFont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vertical="center" wrapText="1"/>
      <protection hidden="1"/>
    </xf>
    <xf numFmtId="0" fontId="0" fillId="0" borderId="0" xfId="0" applyProtection="1">
      <protection hidden="1"/>
    </xf>
    <xf numFmtId="0" fontId="0" fillId="0" borderId="0" xfId="0" applyFill="1" applyBorder="1" applyProtection="1">
      <protection hidden="1"/>
    </xf>
    <xf numFmtId="0" fontId="9" fillId="0" borderId="0" xfId="0" applyFont="1" applyFill="1" applyBorder="1" applyAlignment="1" applyProtection="1">
      <protection hidden="1"/>
    </xf>
    <xf numFmtId="9" fontId="10" fillId="0" borderId="0" xfId="0" applyNumberFormat="1" applyFont="1" applyFill="1" applyBorder="1" applyAlignment="1" applyProtection="1">
      <protection hidden="1"/>
    </xf>
    <xf numFmtId="0" fontId="0" fillId="0" borderId="0" xfId="0" applyBorder="1" applyProtection="1">
      <protection hidden="1"/>
    </xf>
    <xf numFmtId="0" fontId="5" fillId="0" borderId="0" xfId="0" applyFont="1" applyBorder="1" applyAlignment="1" applyProtection="1">
      <protection hidden="1"/>
    </xf>
    <xf numFmtId="0" fontId="11" fillId="5" borderId="37" xfId="0" applyFont="1" applyFill="1" applyBorder="1" applyAlignment="1" applyProtection="1">
      <alignment horizontal="center"/>
      <protection hidden="1"/>
    </xf>
    <xf numFmtId="0" fontId="14" fillId="7" borderId="37" xfId="0" applyFont="1" applyFill="1" applyBorder="1" applyAlignment="1" applyProtection="1">
      <alignment horizontal="center"/>
      <protection hidden="1"/>
    </xf>
    <xf numFmtId="0" fontId="12" fillId="0" borderId="42" xfId="0" applyFont="1" applyFill="1" applyBorder="1" applyAlignment="1" applyProtection="1">
      <alignment horizontal="center"/>
      <protection hidden="1"/>
    </xf>
    <xf numFmtId="0" fontId="11" fillId="5" borderId="29" xfId="0" applyFont="1" applyFill="1" applyBorder="1" applyAlignment="1" applyProtection="1">
      <alignment horizontal="center"/>
      <protection hidden="1"/>
    </xf>
    <xf numFmtId="0" fontId="11" fillId="5" borderId="30" xfId="0" applyFont="1" applyFill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6" fillId="0" borderId="18" xfId="0" applyFont="1" applyBorder="1" applyAlignment="1" applyProtection="1">
      <alignment vertical="center" wrapText="1"/>
      <protection locked="0"/>
    </xf>
    <xf numFmtId="0" fontId="6" fillId="0" borderId="37" xfId="0" applyFont="1" applyFill="1" applyBorder="1" applyAlignment="1" applyProtection="1">
      <alignment horizontal="center"/>
      <protection locked="0"/>
    </xf>
    <xf numFmtId="0" fontId="6" fillId="0" borderId="6" xfId="0" applyFont="1" applyFill="1" applyBorder="1" applyAlignment="1" applyProtection="1">
      <alignment horizontal="center"/>
      <protection locked="0"/>
    </xf>
    <xf numFmtId="0" fontId="6" fillId="0" borderId="38" xfId="0" applyFont="1" applyFill="1" applyBorder="1" applyAlignment="1" applyProtection="1">
      <alignment horizontal="center"/>
      <protection locked="0"/>
    </xf>
    <xf numFmtId="0" fontId="6" fillId="0" borderId="9" xfId="0" applyFont="1" applyFill="1" applyBorder="1" applyAlignment="1" applyProtection="1">
      <alignment horizontal="center"/>
      <protection locked="0"/>
    </xf>
    <xf numFmtId="0" fontId="6" fillId="0" borderId="26" xfId="0" applyFont="1" applyBorder="1" applyAlignment="1" applyProtection="1">
      <alignment vertical="center" wrapText="1"/>
      <protection locked="0"/>
    </xf>
    <xf numFmtId="0" fontId="6" fillId="0" borderId="29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  <xf numFmtId="0" fontId="6" fillId="0" borderId="33" xfId="0" applyFont="1" applyFill="1" applyBorder="1" applyAlignment="1" applyProtection="1">
      <alignment horizontal="center"/>
      <protection locked="0"/>
    </xf>
    <xf numFmtId="0" fontId="6" fillId="0" borderId="1" xfId="0" applyFont="1" applyFill="1" applyBorder="1" applyAlignment="1" applyProtection="1">
      <alignment horizontal="center"/>
      <protection locked="0"/>
    </xf>
    <xf numFmtId="0" fontId="6" fillId="0" borderId="27" xfId="0" applyFont="1" applyBorder="1" applyAlignment="1" applyProtection="1">
      <alignment vertical="center" wrapText="1"/>
      <protection locked="0"/>
    </xf>
    <xf numFmtId="0" fontId="6" fillId="0" borderId="30" xfId="0" applyFont="1" applyFill="1" applyBorder="1" applyAlignment="1" applyProtection="1">
      <alignment horizontal="center"/>
      <protection locked="0"/>
    </xf>
    <xf numFmtId="0" fontId="6" fillId="0" borderId="20" xfId="0" applyFont="1" applyFill="1" applyBorder="1" applyAlignment="1" applyProtection="1">
      <alignment horizontal="center"/>
      <protection locked="0"/>
    </xf>
    <xf numFmtId="0" fontId="6" fillId="0" borderId="34" xfId="0" applyFont="1" applyFill="1" applyBorder="1" applyAlignment="1" applyProtection="1">
      <alignment horizontal="center"/>
      <protection locked="0"/>
    </xf>
    <xf numFmtId="0" fontId="6" fillId="0" borderId="39" xfId="0" applyFont="1" applyFill="1" applyBorder="1" applyAlignment="1" applyProtection="1">
      <alignment horizontal="center"/>
      <protection locked="0"/>
    </xf>
    <xf numFmtId="0" fontId="15" fillId="5" borderId="36" xfId="0" applyFont="1" applyFill="1" applyBorder="1" applyAlignment="1" applyProtection="1">
      <alignment horizontal="center" vertical="center" textRotation="90" wrapText="1"/>
      <protection hidden="1"/>
    </xf>
    <xf numFmtId="0" fontId="15" fillId="5" borderId="40" xfId="0" applyFont="1" applyFill="1" applyBorder="1" applyAlignment="1" applyProtection="1">
      <alignment horizontal="center" vertical="center" textRotation="90" wrapText="1"/>
      <protection hidden="1"/>
    </xf>
    <xf numFmtId="0" fontId="8" fillId="0" borderId="15" xfId="0" applyFont="1" applyFill="1" applyBorder="1" applyAlignment="1" applyProtection="1">
      <alignment horizontal="center" vertical="center" textRotation="90"/>
      <protection hidden="1"/>
    </xf>
    <xf numFmtId="0" fontId="8" fillId="0" borderId="16" xfId="0" applyFont="1" applyFill="1" applyBorder="1" applyAlignment="1" applyProtection="1">
      <alignment horizontal="center" vertical="center" textRotation="90"/>
      <protection hidden="1"/>
    </xf>
    <xf numFmtId="0" fontId="5" fillId="6" borderId="36" xfId="0" applyFont="1" applyFill="1" applyBorder="1" applyAlignment="1" applyProtection="1">
      <alignment horizontal="center"/>
      <protection locked="0"/>
    </xf>
    <xf numFmtId="0" fontId="5" fillId="6" borderId="35" xfId="0" applyFont="1" applyFill="1" applyBorder="1" applyAlignment="1" applyProtection="1">
      <alignment horizontal="center"/>
      <protection locked="0"/>
    </xf>
    <xf numFmtId="0" fontId="5" fillId="6" borderId="41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 vertical="center" wrapText="1"/>
      <protection hidden="1"/>
    </xf>
    <xf numFmtId="0" fontId="1" fillId="0" borderId="19" xfId="0" applyFont="1" applyBorder="1" applyAlignment="1" applyProtection="1">
      <alignment horizontal="center" vertical="center" wrapText="1"/>
      <protection hidden="1"/>
    </xf>
    <xf numFmtId="0" fontId="5" fillId="6" borderId="13" xfId="0" applyFont="1" applyFill="1" applyBorder="1" applyAlignment="1" applyProtection="1">
      <alignment horizontal="center"/>
      <protection locked="0"/>
    </xf>
    <xf numFmtId="0" fontId="5" fillId="6" borderId="11" xfId="0" applyFont="1" applyFill="1" applyBorder="1" applyAlignment="1" applyProtection="1">
      <alignment horizontal="center"/>
      <protection locked="0"/>
    </xf>
    <xf numFmtId="0" fontId="5" fillId="6" borderId="14" xfId="0" applyFont="1" applyFill="1" applyBorder="1" applyAlignment="1" applyProtection="1">
      <alignment horizontal="center"/>
      <protection locked="0"/>
    </xf>
    <xf numFmtId="0" fontId="1" fillId="0" borderId="31" xfId="0" applyFont="1" applyBorder="1" applyAlignment="1" applyProtection="1">
      <alignment horizontal="center" vertical="center" wrapText="1"/>
      <protection hidden="1"/>
    </xf>
    <xf numFmtId="0" fontId="1" fillId="0" borderId="32" xfId="0" applyFont="1" applyBorder="1" applyAlignment="1" applyProtection="1">
      <alignment horizontal="center" vertical="center" wrapText="1"/>
      <protection hidden="1"/>
    </xf>
    <xf numFmtId="0" fontId="13" fillId="4" borderId="28" xfId="0" applyFont="1" applyFill="1" applyBorder="1" applyAlignment="1" applyProtection="1">
      <alignment horizontal="center" vertical="center"/>
      <protection hidden="1"/>
    </xf>
    <xf numFmtId="0" fontId="13" fillId="4" borderId="22" xfId="0" applyFont="1" applyFill="1" applyBorder="1" applyAlignment="1" applyProtection="1">
      <alignment horizontal="center" vertical="center"/>
      <protection hidden="1"/>
    </xf>
    <xf numFmtId="0" fontId="13" fillId="4" borderId="23" xfId="0" applyFont="1" applyFill="1" applyBorder="1" applyAlignment="1" applyProtection="1">
      <alignment horizontal="center" vertical="center"/>
      <protection hidden="1"/>
    </xf>
    <xf numFmtId="0" fontId="13" fillId="3" borderId="28" xfId="0" applyFont="1" applyFill="1" applyBorder="1" applyAlignment="1" applyProtection="1">
      <alignment horizontal="center" vertical="center"/>
      <protection hidden="1"/>
    </xf>
    <xf numFmtId="0" fontId="13" fillId="3" borderId="22" xfId="0" applyFont="1" applyFill="1" applyBorder="1" applyAlignment="1" applyProtection="1">
      <alignment horizontal="center" vertical="center"/>
      <protection hidden="1"/>
    </xf>
    <xf numFmtId="0" fontId="13" fillId="3" borderId="23" xfId="0" applyFont="1" applyFill="1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right" vertical="center" wrapText="1"/>
      <protection hidden="1"/>
    </xf>
    <xf numFmtId="0" fontId="0" fillId="2" borderId="6" xfId="0" applyFill="1" applyBorder="1" applyAlignment="1" applyProtection="1">
      <alignment horizontal="right" vertical="center" wrapText="1"/>
      <protection hidden="1"/>
    </xf>
    <xf numFmtId="0" fontId="2" fillId="2" borderId="1" xfId="0" applyFont="1" applyFill="1" applyBorder="1" applyAlignment="1" applyProtection="1">
      <alignment horizontal="center" wrapText="1"/>
      <protection hidden="1"/>
    </xf>
    <xf numFmtId="0" fontId="2" fillId="2" borderId="2" xfId="0" applyFont="1" applyFill="1" applyBorder="1" applyAlignment="1" applyProtection="1">
      <alignment horizontal="center" wrapText="1"/>
      <protection hidden="1"/>
    </xf>
    <xf numFmtId="0" fontId="2" fillId="2" borderId="5" xfId="0" applyFont="1" applyFill="1" applyBorder="1" applyAlignment="1" applyProtection="1">
      <alignment horizontal="center" wrapText="1"/>
      <protection hidden="1"/>
    </xf>
    <xf numFmtId="0" fontId="2" fillId="0" borderId="0" xfId="0" applyNumberFormat="1" applyFont="1" applyAlignment="1" applyProtection="1">
      <alignment horizontal="center" vertical="center" wrapText="1"/>
      <protection hidden="1"/>
    </xf>
    <xf numFmtId="0" fontId="1" fillId="0" borderId="1" xfId="0" applyFont="1" applyBorder="1" applyAlignment="1" applyProtection="1">
      <alignment horizontal="center" vertical="center" wrapText="1"/>
      <protection hidden="1"/>
    </xf>
    <xf numFmtId="0" fontId="1" fillId="0" borderId="5" xfId="0" applyFont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0" fontId="1" fillId="0" borderId="2" xfId="0" applyFont="1" applyBorder="1" applyAlignment="1" applyProtection="1">
      <alignment horizontal="center" vertical="center" wrapText="1"/>
      <protection hidden="1"/>
    </xf>
    <xf numFmtId="1" fontId="17" fillId="0" borderId="1" xfId="0" applyNumberFormat="1" applyFont="1" applyBorder="1" applyAlignment="1" applyProtection="1">
      <alignment horizontal="center"/>
      <protection hidden="1"/>
    </xf>
    <xf numFmtId="1" fontId="17" fillId="0" borderId="5" xfId="0" applyNumberFormat="1" applyFont="1" applyBorder="1" applyAlignment="1" applyProtection="1">
      <alignment horizontal="center"/>
      <protection hidden="1"/>
    </xf>
    <xf numFmtId="0" fontId="16" fillId="0" borderId="1" xfId="0" applyFont="1" applyBorder="1" applyAlignment="1" applyProtection="1">
      <alignment horizontal="center"/>
      <protection hidden="1"/>
    </xf>
    <xf numFmtId="0" fontId="16" fillId="0" borderId="5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5" xfId="0" applyFont="1" applyBorder="1" applyAlignment="1" applyProtection="1">
      <alignment horizontal="center" vertical="center" wrapText="1"/>
      <protection hidden="1"/>
    </xf>
    <xf numFmtId="0" fontId="2" fillId="2" borderId="3" xfId="0" applyFont="1" applyFill="1" applyBorder="1" applyAlignment="1" applyProtection="1">
      <alignment horizontal="right" vertical="center" wrapText="1"/>
      <protection hidden="1"/>
    </xf>
    <xf numFmtId="0" fontId="0" fillId="2" borderId="3" xfId="0" applyFill="1" applyBorder="1" applyAlignment="1" applyProtection="1">
      <alignment horizontal="right" vertical="center" wrapText="1"/>
      <protection hidden="1"/>
    </xf>
    <xf numFmtId="9" fontId="10" fillId="0" borderId="1" xfId="0" applyNumberFormat="1" applyFont="1" applyBorder="1" applyAlignment="1" applyProtection="1">
      <alignment horizontal="center"/>
      <protection hidden="1"/>
    </xf>
    <xf numFmtId="9" fontId="10" fillId="0" borderId="5" xfId="0" applyNumberFormat="1" applyFont="1" applyBorder="1" applyAlignment="1" applyProtection="1">
      <alignment horizontal="center"/>
      <protection hidden="1"/>
    </xf>
    <xf numFmtId="0" fontId="9" fillId="2" borderId="3" xfId="0" applyFont="1" applyFill="1" applyBorder="1" applyAlignment="1" applyProtection="1">
      <alignment horizontal="center"/>
      <protection hidden="1"/>
    </xf>
    <xf numFmtId="0" fontId="17" fillId="2" borderId="1" xfId="0" applyFont="1" applyFill="1" applyBorder="1" applyAlignment="1" applyProtection="1">
      <alignment horizontal="center"/>
      <protection hidden="1"/>
    </xf>
    <xf numFmtId="0" fontId="17" fillId="2" borderId="5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2">
    <dxf>
      <font>
        <condense val="0"/>
        <extend val="0"/>
        <color indexed="8"/>
      </font>
      <fill>
        <patternFill patternType="none">
          <bgColor indexed="65"/>
        </patternFill>
      </fill>
    </dxf>
    <dxf>
      <font>
        <condense val="0"/>
        <extend val="0"/>
        <color indexed="8"/>
      </font>
    </dxf>
  </dxfs>
  <tableStyles count="0" defaultTableStyle="TableStyleMedium9" defaultPivotStyle="PivotStyleLight16"/>
  <colors>
    <mruColors>
      <color rgb="FFFFFF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Результаты работы</a:t>
            </a:r>
          </a:p>
        </c:rich>
      </c:tx>
      <c:layout/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Отчет!$A$8</c:f>
              <c:strCache>
                <c:ptCount val="1"/>
                <c:pt idx="0">
                  <c:v>% уч-ся</c:v>
                </c:pt>
              </c:strCache>
            </c:strRef>
          </c:tx>
          <c:cat>
            <c:strRef>
              <c:f>Отчет!$B$6:$F$7</c:f>
              <c:strCache>
                <c:ptCount val="5"/>
                <c:pt idx="0">
                  <c:v>"5"</c:v>
                </c:pt>
                <c:pt idx="1">
                  <c:v>"4"</c:v>
                </c:pt>
                <c:pt idx="2">
                  <c:v>"3"</c:v>
                </c:pt>
                <c:pt idx="3">
                  <c:v>"2"</c:v>
                </c:pt>
                <c:pt idx="4">
                  <c:v>нет оценки</c:v>
                </c:pt>
              </c:strCache>
            </c:strRef>
          </c:cat>
          <c:val>
            <c:numRef>
              <c:f>Отчет!$B$8:$F$8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hape val="box"/>
        <c:axId val="72311552"/>
        <c:axId val="72313088"/>
        <c:axId val="0"/>
      </c:bar3DChart>
      <c:catAx>
        <c:axId val="72311552"/>
        <c:scaling>
          <c:orientation val="minMax"/>
        </c:scaling>
        <c:axPos val="b"/>
        <c:tickLblPos val="nextTo"/>
        <c:crossAx val="72313088"/>
        <c:crosses val="autoZero"/>
        <c:auto val="1"/>
        <c:lblAlgn val="ctr"/>
        <c:lblOffset val="100"/>
      </c:catAx>
      <c:valAx>
        <c:axId val="72313088"/>
        <c:scaling>
          <c:orientation val="minMax"/>
        </c:scaling>
        <c:axPos val="l"/>
        <c:majorGridlines/>
        <c:numFmt formatCode="0%" sourceLinked="1"/>
        <c:tickLblPos val="nextTo"/>
        <c:crossAx val="7231155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Решаемость заданий Ч. 1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Отчет!$A$36</c:f>
              <c:strCache>
                <c:ptCount val="1"/>
                <c:pt idx="0">
                  <c:v>нет ответа</c:v>
                </c:pt>
              </c:strCache>
            </c:strRef>
          </c:tx>
          <c:cat>
            <c:numRef>
              <c:f>(Отчет!$B$33:$K$33,Отчет!$B$38:$E$38)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(Отчет!$B$36:$K$36,Отчет!$B$41:$E$41)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Отчет!$A$35</c:f>
              <c:strCache>
                <c:ptCount val="1"/>
                <c:pt idx="0">
                  <c:v>неверно</c:v>
                </c:pt>
              </c:strCache>
            </c:strRef>
          </c:tx>
          <c:cat>
            <c:numRef>
              <c:f>(Отчет!$B$33:$K$33,Отчет!$B$38:$E$38)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(Отчет!$B$35:$K$35,Отчет!$B$40:$E$40)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2"/>
          <c:order val="2"/>
          <c:tx>
            <c:strRef>
              <c:f>Отчет!$A$34</c:f>
              <c:strCache>
                <c:ptCount val="1"/>
                <c:pt idx="0">
                  <c:v>верно</c:v>
                </c:pt>
              </c:strCache>
            </c:strRef>
          </c:tx>
          <c:cat>
            <c:numRef>
              <c:f>(Отчет!$B$33:$K$33,Отчет!$B$38:$E$38)</c:f>
              <c:numCache>
                <c:formatCode>General</c:formatCode>
                <c:ptCount val="1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</c:numCache>
            </c:numRef>
          </c:cat>
          <c:val>
            <c:numRef>
              <c:f>(Отчет!$B$34:$K$34,Отчет!$B$39:$E$39)</c:f>
              <c:numCache>
                <c:formatCode>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hape val="box"/>
        <c:axId val="98980224"/>
        <c:axId val="98982144"/>
        <c:axId val="0"/>
      </c:bar3DChart>
      <c:catAx>
        <c:axId val="9898022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ru-RU"/>
                  <a:t>№ задания</a:t>
                </a:r>
              </a:p>
            </c:rich>
          </c:tx>
        </c:title>
        <c:numFmt formatCode="General" sourceLinked="1"/>
        <c:tickLblPos val="nextTo"/>
        <c:crossAx val="98982144"/>
        <c:crosses val="autoZero"/>
        <c:auto val="1"/>
        <c:lblAlgn val="ctr"/>
        <c:lblOffset val="100"/>
      </c:catAx>
      <c:valAx>
        <c:axId val="98982144"/>
        <c:scaling>
          <c:orientation val="minMax"/>
        </c:scaling>
        <c:axPos val="l"/>
        <c:majorGridlines/>
        <c:numFmt formatCode="0%" sourceLinked="1"/>
        <c:tickLblPos val="nextTo"/>
        <c:crossAx val="9898022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Решаемость заданий Ч. 2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Отчет!$A$74</c:f>
              <c:strCache>
                <c:ptCount val="1"/>
                <c:pt idx="0">
                  <c:v>нет ответа</c:v>
                </c:pt>
              </c:strCache>
            </c:strRef>
          </c:tx>
          <c:cat>
            <c:numRef>
              <c:f>Отчет!$B$68:$H$68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</c:numCache>
            </c:numRef>
          </c:cat>
          <c:val>
            <c:numRef>
              <c:f>Отчет!$B$74:$H$74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1"/>
          <c:order val="1"/>
          <c:tx>
            <c:strRef>
              <c:f>Отчет!$A$73</c:f>
              <c:strCache>
                <c:ptCount val="1"/>
                <c:pt idx="0">
                  <c:v>0 баллов</c:v>
                </c:pt>
              </c:strCache>
            </c:strRef>
          </c:tx>
          <c:cat>
            <c:numRef>
              <c:f>Отчет!$B$68:$H$68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</c:numCache>
            </c:numRef>
          </c:cat>
          <c:val>
            <c:numRef>
              <c:f>Отчет!$B$73:$H$73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Отчет!$A$72</c:f>
              <c:strCache>
                <c:ptCount val="1"/>
                <c:pt idx="0">
                  <c:v>1 балл</c:v>
                </c:pt>
              </c:strCache>
            </c:strRef>
          </c:tx>
          <c:cat>
            <c:numRef>
              <c:f>Отчет!$B$68:$H$68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</c:numCache>
            </c:numRef>
          </c:cat>
          <c:val>
            <c:numRef>
              <c:f>Отчет!$B$72:$H$72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3"/>
          <c:order val="3"/>
          <c:tx>
            <c:strRef>
              <c:f>Отчет!$A$71</c:f>
              <c:strCache>
                <c:ptCount val="1"/>
                <c:pt idx="0">
                  <c:v>2 балла</c:v>
                </c:pt>
              </c:strCache>
            </c:strRef>
          </c:tx>
          <c:cat>
            <c:numRef>
              <c:f>Отчет!$B$68:$H$68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</c:numCache>
            </c:numRef>
          </c:cat>
          <c:val>
            <c:numRef>
              <c:f>Отчет!$B$71:$H$71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Отчет!$A$70</c:f>
              <c:strCache>
                <c:ptCount val="1"/>
                <c:pt idx="0">
                  <c:v>3 балла</c:v>
                </c:pt>
              </c:strCache>
            </c:strRef>
          </c:tx>
          <c:cat>
            <c:numRef>
              <c:f>Отчет!$B$68:$H$68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</c:numCache>
            </c:numRef>
          </c:cat>
          <c:val>
            <c:numRef>
              <c:f>Отчет!$B$70:$H$70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Отчет!$A$69</c:f>
              <c:strCache>
                <c:ptCount val="1"/>
                <c:pt idx="0">
                  <c:v>4 балла</c:v>
                </c:pt>
              </c:strCache>
            </c:strRef>
          </c:tx>
          <c:cat>
            <c:numRef>
              <c:f>Отчет!$B$68:$H$68</c:f>
              <c:numCache>
                <c:formatCode>General</c:formatCode>
                <c:ptCount val="7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</c:numCache>
            </c:numRef>
          </c:cat>
          <c:val>
            <c:numRef>
              <c:f>Отчет!$B$69:$H$69</c:f>
              <c:numCache>
                <c:formatCode>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hape val="box"/>
        <c:axId val="99023104"/>
        <c:axId val="98582528"/>
        <c:axId val="0"/>
      </c:bar3DChart>
      <c:catAx>
        <c:axId val="99023104"/>
        <c:scaling>
          <c:orientation val="minMax"/>
        </c:scaling>
        <c:axPos val="b"/>
        <c:numFmt formatCode="General" sourceLinked="1"/>
        <c:tickLblPos val="nextTo"/>
        <c:crossAx val="98582528"/>
        <c:crosses val="autoZero"/>
        <c:auto val="1"/>
        <c:lblAlgn val="ctr"/>
        <c:lblOffset val="100"/>
      </c:catAx>
      <c:valAx>
        <c:axId val="98582528"/>
        <c:scaling>
          <c:orientation val="minMax"/>
        </c:scaling>
        <c:axPos val="l"/>
        <c:majorGridlines/>
        <c:numFmt formatCode="0%" sourceLinked="1"/>
        <c:tickLblPos val="nextTo"/>
        <c:crossAx val="99023104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Набранные первичные баллы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Отчет!$A$100</c:f>
              <c:strCache>
                <c:ptCount val="1"/>
                <c:pt idx="0">
                  <c:v>% уч-ся</c:v>
                </c:pt>
              </c:strCache>
            </c:strRef>
          </c:tx>
          <c:cat>
            <c:numRef>
              <c:f>(Отчет!$B$99:$M$99,Отчет!$B$101:$M$101,Отчет!$B$103:$K$103)</c:f>
              <c:numCache>
                <c:formatCode>General</c:formatCode>
                <c:ptCount val="3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</c:numCache>
            </c:numRef>
          </c:cat>
          <c:val>
            <c:numRef>
              <c:f>(Отчет!$B$100:$M$100,Отчет!$B$102:$M$102,Отчет!$B$104:$K$104)</c:f>
              <c:numCache>
                <c:formatCode>0%</c:formatCode>
                <c:ptCount val="3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</c:numCache>
            </c:numRef>
          </c:val>
        </c:ser>
        <c:shape val="box"/>
        <c:axId val="98615296"/>
        <c:axId val="98616832"/>
        <c:axId val="0"/>
      </c:bar3DChart>
      <c:catAx>
        <c:axId val="98615296"/>
        <c:scaling>
          <c:orientation val="minMax"/>
        </c:scaling>
        <c:axPos val="b"/>
        <c:numFmt formatCode="General" sourceLinked="1"/>
        <c:tickLblPos val="nextTo"/>
        <c:crossAx val="98616832"/>
        <c:crosses val="autoZero"/>
        <c:auto val="1"/>
        <c:lblAlgn val="ctr"/>
        <c:lblOffset val="100"/>
      </c:catAx>
      <c:valAx>
        <c:axId val="98616832"/>
        <c:scaling>
          <c:orientation val="minMax"/>
        </c:scaling>
        <c:axPos val="l"/>
        <c:majorGridlines/>
        <c:numFmt formatCode="0%" sourceLinked="1"/>
        <c:tickLblPos val="nextTo"/>
        <c:crossAx val="98615296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Набранные тестовые баллы</a:t>
            </a:r>
          </a:p>
        </c:rich>
      </c:tx>
    </c:title>
    <c:view3D>
      <c:rAngAx val="1"/>
    </c:view3D>
    <c:plotArea>
      <c:layout/>
      <c:bar3DChart>
        <c:barDir val="col"/>
        <c:grouping val="clustered"/>
        <c:ser>
          <c:idx val="1"/>
          <c:order val="0"/>
          <c:tx>
            <c:strRef>
              <c:f>Отчет!$A$131</c:f>
              <c:strCache>
                <c:ptCount val="1"/>
                <c:pt idx="0">
                  <c:v>% уч-ся</c:v>
                </c:pt>
              </c:strCache>
            </c:strRef>
          </c:tx>
          <c:cat>
            <c:numRef>
              <c:f>(Отчет!$B$130:$M$130,Отчет!$B$132:$M$132,Отчет!$B$134:$M$134,Отчет!$B$136:$M$136,Отчет!$B$138:$M$138,Отчет!$B$140:$M$140,Отчет!$B$142:$M$142,Отчет!$B$144:$M$144,Отчет!$B$146:$F$146)</c:f>
              <c:numCache>
                <c:formatCode>General</c:formatCod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</c:v>
                </c:pt>
              </c:numCache>
            </c:numRef>
          </c:cat>
          <c:val>
            <c:numRef>
              <c:f>(Отчет!$B$131:$M$131,Отчет!$B$133:$M$133,Отчет!$B$135:$M$135,Отчет!$B$137:$M$137,Отчет!$B$139:$M$139,Отчет!$B$141:$M$141,Отчет!$B$143:$M$143,Отчет!$B$145:$M$145,Отчет!$B$147:$F$147)</c:f>
              <c:numCache>
                <c:formatCode>0%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</c:numCache>
            </c:numRef>
          </c:val>
        </c:ser>
        <c:shape val="box"/>
        <c:axId val="98834688"/>
        <c:axId val="98836480"/>
        <c:axId val="0"/>
      </c:bar3DChart>
      <c:catAx>
        <c:axId val="98834688"/>
        <c:scaling>
          <c:orientation val="minMax"/>
        </c:scaling>
        <c:axPos val="b"/>
        <c:numFmt formatCode="General" sourceLinked="1"/>
        <c:tickLblPos val="nextTo"/>
        <c:crossAx val="98836480"/>
        <c:crosses val="autoZero"/>
        <c:auto val="1"/>
        <c:lblAlgn val="ctr"/>
        <c:lblOffset val="100"/>
      </c:catAx>
      <c:valAx>
        <c:axId val="98836480"/>
        <c:scaling>
          <c:orientation val="minMax"/>
        </c:scaling>
        <c:axPos val="l"/>
        <c:majorGridlines/>
        <c:numFmt formatCode="0%" sourceLinked="1"/>
        <c:tickLblPos val="nextTo"/>
        <c:crossAx val="98834688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9524</xdr:rowOff>
    </xdr:from>
    <xdr:to>
      <xdr:col>5</xdr:col>
      <xdr:colOff>657224</xdr:colOff>
      <xdr:row>25</xdr:row>
      <xdr:rowOff>152399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42</xdr:row>
      <xdr:rowOff>9523</xdr:rowOff>
    </xdr:from>
    <xdr:to>
      <xdr:col>12</xdr:col>
      <xdr:colOff>352425</xdr:colOff>
      <xdr:row>62</xdr:row>
      <xdr:rowOff>0</xdr:rowOff>
    </xdr:to>
    <xdr:graphicFrame macro="">
      <xdr:nvGraphicFramePr>
        <xdr:cNvPr id="8" name="Диаграмма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47624</xdr:colOff>
      <xdr:row>75</xdr:row>
      <xdr:rowOff>9525</xdr:rowOff>
    </xdr:from>
    <xdr:to>
      <xdr:col>9</xdr:col>
      <xdr:colOff>57149</xdr:colOff>
      <xdr:row>88</xdr:row>
      <xdr:rowOff>95250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57150</xdr:colOff>
      <xdr:row>105</xdr:row>
      <xdr:rowOff>19050</xdr:rowOff>
    </xdr:from>
    <xdr:to>
      <xdr:col>12</xdr:col>
      <xdr:colOff>476250</xdr:colOff>
      <xdr:row>119</xdr:row>
      <xdr:rowOff>95250</xdr:rowOff>
    </xdr:to>
    <xdr:graphicFrame macro="">
      <xdr:nvGraphicFramePr>
        <xdr:cNvPr id="14" name="Диаграмма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19049</xdr:colOff>
      <xdr:row>147</xdr:row>
      <xdr:rowOff>95250</xdr:rowOff>
    </xdr:from>
    <xdr:to>
      <xdr:col>12</xdr:col>
      <xdr:colOff>581024</xdr:colOff>
      <xdr:row>159</xdr:row>
      <xdr:rowOff>152400</xdr:rowOff>
    </xdr:to>
    <xdr:graphicFrame macro="">
      <xdr:nvGraphicFramePr>
        <xdr:cNvPr id="15" name="Диаграмма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AC50"/>
  <sheetViews>
    <sheetView tabSelected="1" workbookViewId="0">
      <pane ySplit="3" topLeftCell="A4" activePane="bottomLeft" state="frozen"/>
      <selection pane="bottomLeft" activeCell="G20" sqref="G20"/>
    </sheetView>
  </sheetViews>
  <sheetFormatPr defaultRowHeight="15"/>
  <cols>
    <col min="1" max="1" width="3.85546875" style="56" customWidth="1"/>
    <col min="2" max="2" width="17.140625" style="56" customWidth="1"/>
    <col min="3" max="11" width="3.42578125" style="67" customWidth="1"/>
    <col min="12" max="22" width="3.7109375" style="67" customWidth="1"/>
    <col min="23" max="23" width="3.85546875" style="67" customWidth="1"/>
    <col min="24" max="25" width="6.85546875" style="56" customWidth="1"/>
    <col min="26" max="26" width="7.140625" style="56" customWidth="1"/>
    <col min="27" max="16384" width="9.140625" style="56"/>
  </cols>
  <sheetData>
    <row r="1" spans="1:29" ht="21.75" thickBot="1">
      <c r="A1" s="61" t="s">
        <v>26</v>
      </c>
      <c r="B1" s="61"/>
      <c r="C1" s="61"/>
      <c r="D1" s="61"/>
      <c r="E1" s="61"/>
      <c r="F1" s="61"/>
      <c r="G1" s="61"/>
      <c r="H1" s="61"/>
      <c r="I1" s="61"/>
      <c r="J1" s="61"/>
      <c r="K1" s="61" t="s">
        <v>28</v>
      </c>
      <c r="L1" s="61"/>
      <c r="M1" s="61"/>
      <c r="N1" s="92"/>
      <c r="O1" s="93"/>
      <c r="P1" s="93"/>
      <c r="Q1" s="94"/>
      <c r="R1" s="61"/>
      <c r="S1" s="61" t="s">
        <v>23</v>
      </c>
      <c r="T1" s="61"/>
      <c r="U1" s="61"/>
      <c r="V1" s="61"/>
      <c r="W1" s="87"/>
      <c r="X1" s="88"/>
      <c r="Y1" s="88"/>
      <c r="Z1" s="89"/>
    </row>
    <row r="2" spans="1:29" ht="36.75" customHeight="1">
      <c r="A2" s="90" t="s">
        <v>27</v>
      </c>
      <c r="B2" s="95" t="s">
        <v>25</v>
      </c>
      <c r="C2" s="97" t="s">
        <v>32</v>
      </c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9"/>
      <c r="Q2" s="100" t="s">
        <v>33</v>
      </c>
      <c r="R2" s="101"/>
      <c r="S2" s="101"/>
      <c r="T2" s="101"/>
      <c r="U2" s="101"/>
      <c r="V2" s="101"/>
      <c r="W2" s="102"/>
      <c r="X2" s="83" t="s">
        <v>34</v>
      </c>
      <c r="Y2" s="83" t="s">
        <v>36</v>
      </c>
      <c r="Z2" s="85" t="s">
        <v>29</v>
      </c>
    </row>
    <row r="3" spans="1:29" ht="15.75" thickBot="1">
      <c r="A3" s="91"/>
      <c r="B3" s="96"/>
      <c r="C3" s="38">
        <v>1</v>
      </c>
      <c r="D3" s="39">
        <v>2</v>
      </c>
      <c r="E3" s="39">
        <v>3</v>
      </c>
      <c r="F3" s="39">
        <v>4</v>
      </c>
      <c r="G3" s="39">
        <v>5</v>
      </c>
      <c r="H3" s="39">
        <v>6</v>
      </c>
      <c r="I3" s="39">
        <v>7</v>
      </c>
      <c r="J3" s="39">
        <v>8</v>
      </c>
      <c r="K3" s="39">
        <v>9</v>
      </c>
      <c r="L3" s="39">
        <v>10</v>
      </c>
      <c r="M3" s="39">
        <v>11</v>
      </c>
      <c r="N3" s="39">
        <v>12</v>
      </c>
      <c r="O3" s="39">
        <v>13</v>
      </c>
      <c r="P3" s="41">
        <v>14</v>
      </c>
      <c r="Q3" s="42">
        <v>15</v>
      </c>
      <c r="R3" s="40">
        <v>16</v>
      </c>
      <c r="S3" s="40">
        <v>17</v>
      </c>
      <c r="T3" s="40">
        <v>18</v>
      </c>
      <c r="U3" s="40">
        <v>19</v>
      </c>
      <c r="V3" s="40">
        <v>20</v>
      </c>
      <c r="W3" s="43">
        <v>21</v>
      </c>
      <c r="X3" s="84"/>
      <c r="Y3" s="84"/>
      <c r="Z3" s="86"/>
    </row>
    <row r="4" spans="1:29" ht="15.75">
      <c r="A4" s="35">
        <v>1</v>
      </c>
      <c r="B4" s="68"/>
      <c r="C4" s="69"/>
      <c r="D4" s="70"/>
      <c r="E4" s="70"/>
      <c r="F4" s="70"/>
      <c r="G4" s="70"/>
      <c r="H4" s="70"/>
      <c r="I4" s="70"/>
      <c r="J4" s="70"/>
      <c r="K4" s="70"/>
      <c r="L4" s="70"/>
      <c r="M4" s="70"/>
      <c r="N4" s="70"/>
      <c r="O4" s="70"/>
      <c r="P4" s="71"/>
      <c r="Q4" s="69"/>
      <c r="R4" s="70"/>
      <c r="S4" s="70"/>
      <c r="T4" s="70"/>
      <c r="U4" s="70"/>
      <c r="V4" s="70"/>
      <c r="W4" s="72"/>
      <c r="X4" s="62" t="str">
        <f>IF(SUM(C4:W4)=0,"-",SUM(C4:W4))</f>
        <v>-</v>
      </c>
      <c r="Y4" s="63" t="str">
        <f>IF(SUM(D4:W4)=0,"-",LOOKUP(X4,Лист3!$A$2:$B$35))</f>
        <v>-</v>
      </c>
      <c r="Z4" s="64" t="str">
        <f>IF(SUM(C4:W4)=0,"-",LOOKUP(Y4,Лист3!$D$2:$E$102))</f>
        <v>-</v>
      </c>
    </row>
    <row r="5" spans="1:29" ht="15.75">
      <c r="A5" s="36">
        <v>2</v>
      </c>
      <c r="B5" s="73"/>
      <c r="C5" s="74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6"/>
      <c r="Q5" s="74"/>
      <c r="R5" s="75"/>
      <c r="S5" s="75"/>
      <c r="T5" s="75"/>
      <c r="U5" s="75"/>
      <c r="V5" s="75"/>
      <c r="W5" s="77"/>
      <c r="X5" s="65" t="str">
        <f t="shared" ref="X5:X43" si="0">IF(SUM(C5:W5)=0,"-",SUM(C5:W5))</f>
        <v>-</v>
      </c>
      <c r="Y5" s="63" t="str">
        <f>IF(SUM(D5:W5)=0,"-",LOOKUP(X5,Лист3!$A$2:$B$35))</f>
        <v>-</v>
      </c>
      <c r="Z5" s="64" t="str">
        <f>IF(SUM(C5:W5)=0,"-",LOOKUP(Y5,Лист3!$D$2:$E$102))</f>
        <v>-</v>
      </c>
    </row>
    <row r="6" spans="1:29" ht="15.75">
      <c r="A6" s="36">
        <v>3</v>
      </c>
      <c r="B6" s="73"/>
      <c r="C6" s="74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6"/>
      <c r="Q6" s="74"/>
      <c r="R6" s="75"/>
      <c r="S6" s="75"/>
      <c r="T6" s="75"/>
      <c r="U6" s="75"/>
      <c r="V6" s="75"/>
      <c r="W6" s="77"/>
      <c r="X6" s="65" t="str">
        <f t="shared" si="0"/>
        <v>-</v>
      </c>
      <c r="Y6" s="63" t="str">
        <f>IF(SUM(D6:W6)=0,"-",LOOKUP(X6,Лист3!$A$2:$B$35))</f>
        <v>-</v>
      </c>
      <c r="Z6" s="64" t="str">
        <f>IF(SUM(C6:W6)=0,"-",LOOKUP(Y6,Лист3!$D$2:$E$102))</f>
        <v>-</v>
      </c>
    </row>
    <row r="7" spans="1:29" ht="15.75">
      <c r="A7" s="36">
        <v>4</v>
      </c>
      <c r="B7" s="73"/>
      <c r="C7" s="74"/>
      <c r="D7" s="75"/>
      <c r="E7" s="75"/>
      <c r="F7" s="75"/>
      <c r="G7" s="75"/>
      <c r="H7" s="75"/>
      <c r="I7" s="75"/>
      <c r="J7" s="75"/>
      <c r="K7" s="75"/>
      <c r="L7" s="75"/>
      <c r="M7" s="75"/>
      <c r="N7" s="75"/>
      <c r="O7" s="75"/>
      <c r="P7" s="76"/>
      <c r="Q7" s="74"/>
      <c r="R7" s="75"/>
      <c r="S7" s="75"/>
      <c r="T7" s="75"/>
      <c r="U7" s="75"/>
      <c r="V7" s="75"/>
      <c r="W7" s="77"/>
      <c r="X7" s="65" t="str">
        <f t="shared" si="0"/>
        <v>-</v>
      </c>
      <c r="Y7" s="63" t="str">
        <f>IF(SUM(D7:W7)=0,"-",LOOKUP(X7,Лист3!$A$2:$B$35))</f>
        <v>-</v>
      </c>
      <c r="Z7" s="64" t="str">
        <f>IF(SUM(C7:W7)=0,"-",LOOKUP(Y7,Лист3!$D$2:$E$102))</f>
        <v>-</v>
      </c>
    </row>
    <row r="8" spans="1:29" ht="15.75">
      <c r="A8" s="36">
        <v>5</v>
      </c>
      <c r="B8" s="73"/>
      <c r="C8" s="74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6"/>
      <c r="Q8" s="74"/>
      <c r="R8" s="75"/>
      <c r="S8" s="75"/>
      <c r="T8" s="75"/>
      <c r="U8" s="75"/>
      <c r="V8" s="75"/>
      <c r="W8" s="77"/>
      <c r="X8" s="65" t="str">
        <f t="shared" si="0"/>
        <v>-</v>
      </c>
      <c r="Y8" s="63" t="str">
        <f>IF(SUM(D8:W8)=0,"-",LOOKUP(X8,Лист3!$A$2:$B$35))</f>
        <v>-</v>
      </c>
      <c r="Z8" s="64" t="str">
        <f>IF(SUM(C8:W8)=0,"-",LOOKUP(Y8,Лист3!$D$2:$E$102))</f>
        <v>-</v>
      </c>
    </row>
    <row r="9" spans="1:29" ht="15.75">
      <c r="A9" s="36">
        <v>6</v>
      </c>
      <c r="B9" s="73"/>
      <c r="C9" s="74"/>
      <c r="D9" s="75"/>
      <c r="E9" s="75"/>
      <c r="F9" s="75"/>
      <c r="G9" s="75"/>
      <c r="H9" s="75"/>
      <c r="I9" s="75"/>
      <c r="J9" s="75"/>
      <c r="K9" s="75"/>
      <c r="L9" s="75"/>
      <c r="M9" s="75"/>
      <c r="N9" s="75"/>
      <c r="O9" s="75"/>
      <c r="P9" s="76"/>
      <c r="Q9" s="74"/>
      <c r="R9" s="75"/>
      <c r="S9" s="75"/>
      <c r="T9" s="75"/>
      <c r="U9" s="75"/>
      <c r="V9" s="75"/>
      <c r="W9" s="77"/>
      <c r="X9" s="65" t="str">
        <f t="shared" si="0"/>
        <v>-</v>
      </c>
      <c r="Y9" s="63" t="str">
        <f>IF(SUM(D9:W9)=0,"-",LOOKUP(X9,Лист3!$A$2:$B$35))</f>
        <v>-</v>
      </c>
      <c r="Z9" s="64" t="str">
        <f>IF(SUM(C9:W9)=0,"-",LOOKUP(Y9,Лист3!$D$2:$E$102))</f>
        <v>-</v>
      </c>
    </row>
    <row r="10" spans="1:29" ht="15.75">
      <c r="A10" s="36">
        <v>7</v>
      </c>
      <c r="B10" s="73"/>
      <c r="C10" s="74"/>
      <c r="D10" s="75"/>
      <c r="E10" s="75"/>
      <c r="F10" s="75"/>
      <c r="G10" s="75"/>
      <c r="H10" s="75"/>
      <c r="I10" s="75"/>
      <c r="J10" s="75"/>
      <c r="K10" s="75"/>
      <c r="L10" s="75"/>
      <c r="M10" s="75"/>
      <c r="N10" s="75"/>
      <c r="O10" s="75"/>
      <c r="P10" s="76"/>
      <c r="Q10" s="74"/>
      <c r="R10" s="75"/>
      <c r="S10" s="75"/>
      <c r="T10" s="75"/>
      <c r="U10" s="75"/>
      <c r="V10" s="75"/>
      <c r="W10" s="77"/>
      <c r="X10" s="65" t="str">
        <f t="shared" si="0"/>
        <v>-</v>
      </c>
      <c r="Y10" s="63" t="str">
        <f>IF(SUM(D10:W10)=0,"-",LOOKUP(X10,Лист3!$A$2:$B$35))</f>
        <v>-</v>
      </c>
      <c r="Z10" s="64" t="str">
        <f>IF(SUM(C10:W10)=0,"-",LOOKUP(Y10,Лист3!$D$2:$E$102))</f>
        <v>-</v>
      </c>
    </row>
    <row r="11" spans="1:29" ht="15.75">
      <c r="A11" s="36">
        <v>8</v>
      </c>
      <c r="B11" s="73" t="s">
        <v>7</v>
      </c>
      <c r="C11" s="74" t="s">
        <v>7</v>
      </c>
      <c r="D11" s="75" t="s">
        <v>7</v>
      </c>
      <c r="E11" s="75" t="s">
        <v>7</v>
      </c>
      <c r="F11" s="75" t="s">
        <v>7</v>
      </c>
      <c r="G11" s="75" t="s">
        <v>7</v>
      </c>
      <c r="H11" s="75" t="s">
        <v>7</v>
      </c>
      <c r="I11" s="75" t="s">
        <v>7</v>
      </c>
      <c r="J11" s="75" t="s">
        <v>7</v>
      </c>
      <c r="K11" s="75" t="s">
        <v>7</v>
      </c>
      <c r="L11" s="75" t="s">
        <v>7</v>
      </c>
      <c r="M11" s="75" t="s">
        <v>7</v>
      </c>
      <c r="N11" s="75" t="s">
        <v>7</v>
      </c>
      <c r="O11" s="75" t="s">
        <v>7</v>
      </c>
      <c r="P11" s="76" t="s">
        <v>7</v>
      </c>
      <c r="Q11" s="74" t="s">
        <v>7</v>
      </c>
      <c r="R11" s="75" t="s">
        <v>7</v>
      </c>
      <c r="S11" s="75" t="s">
        <v>7</v>
      </c>
      <c r="T11" s="75" t="s">
        <v>7</v>
      </c>
      <c r="U11" s="75" t="s">
        <v>7</v>
      </c>
      <c r="V11" s="75" t="s">
        <v>7</v>
      </c>
      <c r="W11" s="77" t="s">
        <v>7</v>
      </c>
      <c r="X11" s="65" t="str">
        <f t="shared" si="0"/>
        <v>-</v>
      </c>
      <c r="Y11" s="63" t="str">
        <f>IF(SUM(D11:W11)=0,"-",LOOKUP(X11,Лист3!$A$2:$B$35))</f>
        <v>-</v>
      </c>
      <c r="Z11" s="64" t="str">
        <f>IF(SUM(C11:W11)=0,"-",LOOKUP(Y11,Лист3!$D$2:$E$102))</f>
        <v>-</v>
      </c>
      <c r="AC11" s="60"/>
    </row>
    <row r="12" spans="1:29" ht="15.75">
      <c r="A12" s="36">
        <v>9</v>
      </c>
      <c r="B12" s="73" t="s">
        <v>7</v>
      </c>
      <c r="C12" s="74" t="s">
        <v>7</v>
      </c>
      <c r="D12" s="75" t="s">
        <v>7</v>
      </c>
      <c r="E12" s="75" t="s">
        <v>7</v>
      </c>
      <c r="F12" s="75" t="s">
        <v>7</v>
      </c>
      <c r="G12" s="75" t="s">
        <v>7</v>
      </c>
      <c r="H12" s="75" t="s">
        <v>7</v>
      </c>
      <c r="I12" s="75" t="s">
        <v>7</v>
      </c>
      <c r="J12" s="75" t="s">
        <v>7</v>
      </c>
      <c r="K12" s="75" t="s">
        <v>7</v>
      </c>
      <c r="L12" s="75" t="s">
        <v>7</v>
      </c>
      <c r="M12" s="75" t="s">
        <v>7</v>
      </c>
      <c r="N12" s="75" t="s">
        <v>7</v>
      </c>
      <c r="O12" s="75" t="s">
        <v>7</v>
      </c>
      <c r="P12" s="76" t="s">
        <v>7</v>
      </c>
      <c r="Q12" s="74" t="s">
        <v>7</v>
      </c>
      <c r="R12" s="75" t="s">
        <v>7</v>
      </c>
      <c r="S12" s="75" t="s">
        <v>7</v>
      </c>
      <c r="T12" s="75" t="s">
        <v>7</v>
      </c>
      <c r="U12" s="75" t="s">
        <v>7</v>
      </c>
      <c r="V12" s="75" t="s">
        <v>7</v>
      </c>
      <c r="W12" s="77" t="s">
        <v>7</v>
      </c>
      <c r="X12" s="65" t="str">
        <f t="shared" si="0"/>
        <v>-</v>
      </c>
      <c r="Y12" s="63" t="str">
        <f>IF(SUM(D12:W12)=0,"-",LOOKUP(X12,Лист3!$A$2:$B$35))</f>
        <v>-</v>
      </c>
      <c r="Z12" s="64" t="str">
        <f>IF(SUM(C12:W12)=0,"-",LOOKUP(Y12,Лист3!$D$2:$E$102))</f>
        <v>-</v>
      </c>
    </row>
    <row r="13" spans="1:29" ht="15.75">
      <c r="A13" s="36">
        <v>10</v>
      </c>
      <c r="B13" s="73" t="s">
        <v>7</v>
      </c>
      <c r="C13" s="74" t="s">
        <v>7</v>
      </c>
      <c r="D13" s="75" t="s">
        <v>7</v>
      </c>
      <c r="E13" s="75" t="s">
        <v>7</v>
      </c>
      <c r="F13" s="75" t="s">
        <v>7</v>
      </c>
      <c r="G13" s="75" t="s">
        <v>7</v>
      </c>
      <c r="H13" s="75" t="s">
        <v>7</v>
      </c>
      <c r="I13" s="75" t="s">
        <v>7</v>
      </c>
      <c r="J13" s="75" t="s">
        <v>7</v>
      </c>
      <c r="K13" s="75" t="s">
        <v>7</v>
      </c>
      <c r="L13" s="75" t="s">
        <v>7</v>
      </c>
      <c r="M13" s="75" t="s">
        <v>7</v>
      </c>
      <c r="N13" s="75" t="s">
        <v>7</v>
      </c>
      <c r="O13" s="75" t="s">
        <v>7</v>
      </c>
      <c r="P13" s="76" t="s">
        <v>7</v>
      </c>
      <c r="Q13" s="74" t="s">
        <v>7</v>
      </c>
      <c r="R13" s="75" t="s">
        <v>7</v>
      </c>
      <c r="S13" s="75" t="s">
        <v>7</v>
      </c>
      <c r="T13" s="75" t="s">
        <v>7</v>
      </c>
      <c r="U13" s="75" t="s">
        <v>7</v>
      </c>
      <c r="V13" s="75" t="s">
        <v>7</v>
      </c>
      <c r="W13" s="77" t="s">
        <v>7</v>
      </c>
      <c r="X13" s="65" t="str">
        <f t="shared" si="0"/>
        <v>-</v>
      </c>
      <c r="Y13" s="63" t="str">
        <f>IF(SUM(D13:W13)=0,"-",LOOKUP(X13,Лист3!$A$2:$B$35))</f>
        <v>-</v>
      </c>
      <c r="Z13" s="64" t="str">
        <f>IF(SUM(C13:W13)=0,"-",LOOKUP(Y13,Лист3!$D$2:$E$102))</f>
        <v>-</v>
      </c>
    </row>
    <row r="14" spans="1:29" ht="15.75">
      <c r="A14" s="36">
        <v>11</v>
      </c>
      <c r="B14" s="73" t="s">
        <v>7</v>
      </c>
      <c r="C14" s="74" t="s">
        <v>7</v>
      </c>
      <c r="D14" s="75" t="s">
        <v>7</v>
      </c>
      <c r="E14" s="75" t="s">
        <v>7</v>
      </c>
      <c r="F14" s="75" t="s">
        <v>7</v>
      </c>
      <c r="G14" s="75" t="s">
        <v>7</v>
      </c>
      <c r="H14" s="75" t="s">
        <v>7</v>
      </c>
      <c r="I14" s="75" t="s">
        <v>7</v>
      </c>
      <c r="J14" s="75" t="s">
        <v>7</v>
      </c>
      <c r="K14" s="75" t="s">
        <v>7</v>
      </c>
      <c r="L14" s="75" t="s">
        <v>7</v>
      </c>
      <c r="M14" s="75" t="s">
        <v>7</v>
      </c>
      <c r="N14" s="75" t="s">
        <v>7</v>
      </c>
      <c r="O14" s="75" t="s">
        <v>7</v>
      </c>
      <c r="P14" s="76" t="s">
        <v>7</v>
      </c>
      <c r="Q14" s="74" t="s">
        <v>7</v>
      </c>
      <c r="R14" s="75" t="s">
        <v>7</v>
      </c>
      <c r="S14" s="75" t="s">
        <v>7</v>
      </c>
      <c r="T14" s="75" t="s">
        <v>7</v>
      </c>
      <c r="U14" s="75" t="s">
        <v>7</v>
      </c>
      <c r="V14" s="75" t="s">
        <v>7</v>
      </c>
      <c r="W14" s="77" t="s">
        <v>7</v>
      </c>
      <c r="X14" s="65" t="str">
        <f t="shared" si="0"/>
        <v>-</v>
      </c>
      <c r="Y14" s="63" t="str">
        <f>IF(SUM(D14:W14)=0,"-",LOOKUP(X14,Лист3!$A$2:$B$35))</f>
        <v>-</v>
      </c>
      <c r="Z14" s="64" t="str">
        <f>IF(SUM(C14:W14)=0,"-",LOOKUP(Y14,Лист3!$D$2:$E$102))</f>
        <v>-</v>
      </c>
    </row>
    <row r="15" spans="1:29" ht="15.75">
      <c r="A15" s="36">
        <v>12</v>
      </c>
      <c r="B15" s="73" t="s">
        <v>7</v>
      </c>
      <c r="C15" s="74" t="s">
        <v>7</v>
      </c>
      <c r="D15" s="75" t="s">
        <v>7</v>
      </c>
      <c r="E15" s="75" t="s">
        <v>7</v>
      </c>
      <c r="F15" s="75" t="s">
        <v>7</v>
      </c>
      <c r="G15" s="75" t="s">
        <v>7</v>
      </c>
      <c r="H15" s="75" t="s">
        <v>7</v>
      </c>
      <c r="I15" s="75" t="s">
        <v>7</v>
      </c>
      <c r="J15" s="75" t="s">
        <v>7</v>
      </c>
      <c r="K15" s="75" t="s">
        <v>7</v>
      </c>
      <c r="L15" s="75" t="s">
        <v>7</v>
      </c>
      <c r="M15" s="75" t="s">
        <v>7</v>
      </c>
      <c r="N15" s="75" t="s">
        <v>7</v>
      </c>
      <c r="O15" s="75" t="s">
        <v>7</v>
      </c>
      <c r="P15" s="76" t="s">
        <v>7</v>
      </c>
      <c r="Q15" s="74" t="s">
        <v>7</v>
      </c>
      <c r="R15" s="75" t="s">
        <v>7</v>
      </c>
      <c r="S15" s="75" t="s">
        <v>7</v>
      </c>
      <c r="T15" s="75" t="s">
        <v>7</v>
      </c>
      <c r="U15" s="75" t="s">
        <v>7</v>
      </c>
      <c r="V15" s="75" t="s">
        <v>7</v>
      </c>
      <c r="W15" s="77" t="s">
        <v>7</v>
      </c>
      <c r="X15" s="65" t="str">
        <f t="shared" si="0"/>
        <v>-</v>
      </c>
      <c r="Y15" s="63" t="str">
        <f>IF(SUM(D15:W15)=0,"-",LOOKUP(X15,Лист3!$A$2:$B$35))</f>
        <v>-</v>
      </c>
      <c r="Z15" s="64" t="str">
        <f>IF(SUM(C15:W15)=0,"-",LOOKUP(Y15,Лист3!$D$2:$E$102))</f>
        <v>-</v>
      </c>
    </row>
    <row r="16" spans="1:29" ht="15.75">
      <c r="A16" s="36">
        <v>13</v>
      </c>
      <c r="B16" s="73" t="s">
        <v>7</v>
      </c>
      <c r="C16" s="74" t="s">
        <v>7</v>
      </c>
      <c r="D16" s="75" t="s">
        <v>7</v>
      </c>
      <c r="E16" s="75" t="s">
        <v>7</v>
      </c>
      <c r="F16" s="75" t="s">
        <v>7</v>
      </c>
      <c r="G16" s="75" t="s">
        <v>7</v>
      </c>
      <c r="H16" s="75" t="s">
        <v>7</v>
      </c>
      <c r="I16" s="75" t="s">
        <v>7</v>
      </c>
      <c r="J16" s="75" t="s">
        <v>7</v>
      </c>
      <c r="K16" s="75" t="s">
        <v>7</v>
      </c>
      <c r="L16" s="75" t="s">
        <v>7</v>
      </c>
      <c r="M16" s="75" t="s">
        <v>7</v>
      </c>
      <c r="N16" s="75" t="s">
        <v>7</v>
      </c>
      <c r="O16" s="75" t="s">
        <v>7</v>
      </c>
      <c r="P16" s="76" t="s">
        <v>7</v>
      </c>
      <c r="Q16" s="74" t="s">
        <v>7</v>
      </c>
      <c r="R16" s="75" t="s">
        <v>7</v>
      </c>
      <c r="S16" s="75" t="s">
        <v>7</v>
      </c>
      <c r="T16" s="75"/>
      <c r="U16" s="75" t="s">
        <v>7</v>
      </c>
      <c r="V16" s="75" t="s">
        <v>7</v>
      </c>
      <c r="W16" s="77" t="s">
        <v>7</v>
      </c>
      <c r="X16" s="65" t="str">
        <f t="shared" si="0"/>
        <v>-</v>
      </c>
      <c r="Y16" s="63" t="str">
        <f>IF(SUM(D16:W16)=0,"-",LOOKUP(X16,Лист3!$A$2:$B$35))</f>
        <v>-</v>
      </c>
      <c r="Z16" s="64" t="str">
        <f>IF(SUM(C16:W16)=0,"-",LOOKUP(Y16,Лист3!$D$2:$E$102))</f>
        <v>-</v>
      </c>
    </row>
    <row r="17" spans="1:26" ht="15.75">
      <c r="A17" s="36">
        <v>14</v>
      </c>
      <c r="B17" s="73" t="s">
        <v>7</v>
      </c>
      <c r="C17" s="74" t="s">
        <v>7</v>
      </c>
      <c r="D17" s="75" t="s">
        <v>7</v>
      </c>
      <c r="E17" s="75" t="s">
        <v>7</v>
      </c>
      <c r="F17" s="75" t="s">
        <v>7</v>
      </c>
      <c r="G17" s="75" t="s">
        <v>7</v>
      </c>
      <c r="H17" s="75" t="s">
        <v>7</v>
      </c>
      <c r="I17" s="75" t="s">
        <v>7</v>
      </c>
      <c r="J17" s="75" t="s">
        <v>7</v>
      </c>
      <c r="K17" s="75" t="s">
        <v>7</v>
      </c>
      <c r="L17" s="75" t="s">
        <v>7</v>
      </c>
      <c r="M17" s="75" t="s">
        <v>7</v>
      </c>
      <c r="N17" s="75" t="s">
        <v>7</v>
      </c>
      <c r="O17" s="75" t="s">
        <v>7</v>
      </c>
      <c r="P17" s="76" t="s">
        <v>7</v>
      </c>
      <c r="Q17" s="74" t="s">
        <v>7</v>
      </c>
      <c r="R17" s="75" t="s">
        <v>7</v>
      </c>
      <c r="S17" s="75" t="s">
        <v>7</v>
      </c>
      <c r="T17" s="75" t="s">
        <v>7</v>
      </c>
      <c r="U17" s="75" t="s">
        <v>7</v>
      </c>
      <c r="V17" s="75" t="s">
        <v>7</v>
      </c>
      <c r="W17" s="77" t="s">
        <v>7</v>
      </c>
      <c r="X17" s="65" t="str">
        <f t="shared" si="0"/>
        <v>-</v>
      </c>
      <c r="Y17" s="63" t="str">
        <f>IF(SUM(D17:W17)=0,"-",LOOKUP(X17,Лист3!$A$2:$B$35))</f>
        <v>-</v>
      </c>
      <c r="Z17" s="64" t="str">
        <f>IF(SUM(C17:W17)=0,"-",LOOKUP(Y17,Лист3!$D$2:$E$102))</f>
        <v>-</v>
      </c>
    </row>
    <row r="18" spans="1:26" ht="15.75">
      <c r="A18" s="36">
        <v>15</v>
      </c>
      <c r="B18" s="73" t="s">
        <v>7</v>
      </c>
      <c r="C18" s="74" t="s">
        <v>7</v>
      </c>
      <c r="D18" s="75" t="s">
        <v>7</v>
      </c>
      <c r="E18" s="75" t="s">
        <v>7</v>
      </c>
      <c r="F18" s="75" t="s">
        <v>7</v>
      </c>
      <c r="G18" s="75" t="s">
        <v>7</v>
      </c>
      <c r="H18" s="75" t="s">
        <v>7</v>
      </c>
      <c r="I18" s="75" t="s">
        <v>7</v>
      </c>
      <c r="J18" s="75" t="s">
        <v>7</v>
      </c>
      <c r="K18" s="75" t="s">
        <v>7</v>
      </c>
      <c r="L18" s="75" t="s">
        <v>7</v>
      </c>
      <c r="M18" s="75" t="s">
        <v>7</v>
      </c>
      <c r="N18" s="75" t="s">
        <v>7</v>
      </c>
      <c r="O18" s="75" t="s">
        <v>7</v>
      </c>
      <c r="P18" s="76" t="s">
        <v>7</v>
      </c>
      <c r="Q18" s="74" t="s">
        <v>7</v>
      </c>
      <c r="R18" s="75" t="s">
        <v>7</v>
      </c>
      <c r="S18" s="75" t="s">
        <v>7</v>
      </c>
      <c r="T18" s="75" t="s">
        <v>7</v>
      </c>
      <c r="U18" s="75" t="s">
        <v>7</v>
      </c>
      <c r="V18" s="75" t="s">
        <v>7</v>
      </c>
      <c r="W18" s="77" t="s">
        <v>7</v>
      </c>
      <c r="X18" s="65" t="str">
        <f t="shared" si="0"/>
        <v>-</v>
      </c>
      <c r="Y18" s="63" t="str">
        <f>IF(SUM(D18:W18)=0,"-",LOOKUP(X18,Лист3!$A$2:$B$35))</f>
        <v>-</v>
      </c>
      <c r="Z18" s="64" t="str">
        <f>IF(SUM(C18:W18)=0,"-",LOOKUP(Y18,Лист3!$D$2:$E$102))</f>
        <v>-</v>
      </c>
    </row>
    <row r="19" spans="1:26" ht="15.75">
      <c r="A19" s="36">
        <v>16</v>
      </c>
      <c r="B19" s="73" t="s">
        <v>7</v>
      </c>
      <c r="C19" s="74"/>
      <c r="D19" s="75" t="s">
        <v>7</v>
      </c>
      <c r="E19" s="75" t="s">
        <v>7</v>
      </c>
      <c r="F19" s="75" t="s">
        <v>7</v>
      </c>
      <c r="G19" s="75" t="s">
        <v>7</v>
      </c>
      <c r="H19" s="75" t="s">
        <v>7</v>
      </c>
      <c r="I19" s="75" t="s">
        <v>7</v>
      </c>
      <c r="J19" s="75" t="s">
        <v>7</v>
      </c>
      <c r="K19" s="75" t="s">
        <v>7</v>
      </c>
      <c r="L19" s="75" t="s">
        <v>7</v>
      </c>
      <c r="M19" s="75" t="s">
        <v>7</v>
      </c>
      <c r="N19" s="75" t="s">
        <v>7</v>
      </c>
      <c r="O19" s="75" t="s">
        <v>7</v>
      </c>
      <c r="P19" s="76" t="s">
        <v>7</v>
      </c>
      <c r="Q19" s="74" t="s">
        <v>7</v>
      </c>
      <c r="R19" s="75" t="s">
        <v>7</v>
      </c>
      <c r="S19" s="75" t="s">
        <v>7</v>
      </c>
      <c r="T19" s="75" t="s">
        <v>7</v>
      </c>
      <c r="U19" s="75" t="s">
        <v>7</v>
      </c>
      <c r="V19" s="75" t="s">
        <v>7</v>
      </c>
      <c r="W19" s="77" t="s">
        <v>7</v>
      </c>
      <c r="X19" s="65" t="str">
        <f t="shared" si="0"/>
        <v>-</v>
      </c>
      <c r="Y19" s="63" t="str">
        <f>IF(SUM(D19:W19)=0,"-",LOOKUP(X19,Лист3!$A$2:$B$35))</f>
        <v>-</v>
      </c>
      <c r="Z19" s="64" t="str">
        <f>IF(SUM(C19:W19)=0,"-",LOOKUP(Y19,Лист3!$D$2:$E$102))</f>
        <v>-</v>
      </c>
    </row>
    <row r="20" spans="1:26" ht="15.75">
      <c r="A20" s="36">
        <v>17</v>
      </c>
      <c r="B20" s="73" t="s">
        <v>7</v>
      </c>
      <c r="C20" s="74"/>
      <c r="D20" s="75" t="s">
        <v>7</v>
      </c>
      <c r="E20" s="75" t="s">
        <v>7</v>
      </c>
      <c r="F20" s="75" t="s">
        <v>7</v>
      </c>
      <c r="G20" s="75" t="s">
        <v>7</v>
      </c>
      <c r="H20" s="75" t="s">
        <v>7</v>
      </c>
      <c r="I20" s="75" t="s">
        <v>7</v>
      </c>
      <c r="J20" s="75" t="s">
        <v>7</v>
      </c>
      <c r="K20" s="75" t="s">
        <v>7</v>
      </c>
      <c r="L20" s="75" t="s">
        <v>7</v>
      </c>
      <c r="M20" s="75" t="s">
        <v>7</v>
      </c>
      <c r="N20" s="75" t="s">
        <v>7</v>
      </c>
      <c r="O20" s="75" t="s">
        <v>7</v>
      </c>
      <c r="P20" s="76" t="s">
        <v>7</v>
      </c>
      <c r="Q20" s="74" t="s">
        <v>7</v>
      </c>
      <c r="R20" s="75" t="s">
        <v>7</v>
      </c>
      <c r="S20" s="75" t="s">
        <v>7</v>
      </c>
      <c r="T20" s="75" t="s">
        <v>7</v>
      </c>
      <c r="U20" s="75" t="s">
        <v>7</v>
      </c>
      <c r="V20" s="75" t="s">
        <v>7</v>
      </c>
      <c r="W20" s="77" t="s">
        <v>7</v>
      </c>
      <c r="X20" s="65" t="str">
        <f t="shared" si="0"/>
        <v>-</v>
      </c>
      <c r="Y20" s="63" t="str">
        <f>IF(SUM(D20:W20)=0,"-",LOOKUP(X20,Лист3!$A$2:$B$35))</f>
        <v>-</v>
      </c>
      <c r="Z20" s="64" t="str">
        <f>IF(SUM(C20:W20)=0,"-",LOOKUP(Y20,Лист3!$D$2:$E$102))</f>
        <v>-</v>
      </c>
    </row>
    <row r="21" spans="1:26" ht="15.75">
      <c r="A21" s="36">
        <v>18</v>
      </c>
      <c r="B21" s="73" t="s">
        <v>7</v>
      </c>
      <c r="C21" s="74"/>
      <c r="D21" s="75" t="s">
        <v>7</v>
      </c>
      <c r="E21" s="75" t="s">
        <v>7</v>
      </c>
      <c r="F21" s="75" t="s">
        <v>7</v>
      </c>
      <c r="G21" s="75" t="s">
        <v>7</v>
      </c>
      <c r="H21" s="75" t="s">
        <v>7</v>
      </c>
      <c r="I21" s="75" t="s">
        <v>7</v>
      </c>
      <c r="J21" s="75" t="s">
        <v>7</v>
      </c>
      <c r="K21" s="75" t="s">
        <v>7</v>
      </c>
      <c r="L21" s="75" t="s">
        <v>7</v>
      </c>
      <c r="M21" s="75" t="s">
        <v>7</v>
      </c>
      <c r="N21" s="75" t="s">
        <v>7</v>
      </c>
      <c r="O21" s="75" t="s">
        <v>7</v>
      </c>
      <c r="P21" s="76" t="s">
        <v>7</v>
      </c>
      <c r="Q21" s="74" t="s">
        <v>7</v>
      </c>
      <c r="R21" s="75" t="s">
        <v>7</v>
      </c>
      <c r="S21" s="75" t="s">
        <v>7</v>
      </c>
      <c r="T21" s="75" t="s">
        <v>7</v>
      </c>
      <c r="U21" s="75" t="s">
        <v>7</v>
      </c>
      <c r="V21" s="75" t="s">
        <v>7</v>
      </c>
      <c r="W21" s="77" t="s">
        <v>7</v>
      </c>
      <c r="X21" s="65" t="str">
        <f t="shared" si="0"/>
        <v>-</v>
      </c>
      <c r="Y21" s="63" t="str">
        <f>IF(SUM(D21:W21)=0,"-",LOOKUP(X21,Лист3!$A$2:$B$35))</f>
        <v>-</v>
      </c>
      <c r="Z21" s="64" t="str">
        <f>IF(SUM(C21:W21)=0,"-",LOOKUP(Y21,Лист3!$D$2:$E$102))</f>
        <v>-</v>
      </c>
    </row>
    <row r="22" spans="1:26" ht="15.75">
      <c r="A22" s="36">
        <v>19</v>
      </c>
      <c r="B22" s="73" t="s">
        <v>7</v>
      </c>
      <c r="C22" s="74"/>
      <c r="D22" s="75" t="s">
        <v>7</v>
      </c>
      <c r="E22" s="75" t="s">
        <v>7</v>
      </c>
      <c r="F22" s="75" t="s">
        <v>7</v>
      </c>
      <c r="G22" s="75" t="s">
        <v>7</v>
      </c>
      <c r="H22" s="75" t="s">
        <v>7</v>
      </c>
      <c r="I22" s="75" t="s">
        <v>7</v>
      </c>
      <c r="J22" s="75" t="s">
        <v>7</v>
      </c>
      <c r="K22" s="75" t="s">
        <v>7</v>
      </c>
      <c r="L22" s="75" t="s">
        <v>7</v>
      </c>
      <c r="M22" s="75" t="s">
        <v>7</v>
      </c>
      <c r="N22" s="75" t="s">
        <v>7</v>
      </c>
      <c r="O22" s="75" t="s">
        <v>7</v>
      </c>
      <c r="P22" s="76" t="s">
        <v>7</v>
      </c>
      <c r="Q22" s="74" t="s">
        <v>7</v>
      </c>
      <c r="R22" s="75" t="s">
        <v>7</v>
      </c>
      <c r="S22" s="75" t="s">
        <v>7</v>
      </c>
      <c r="T22" s="75" t="s">
        <v>7</v>
      </c>
      <c r="U22" s="75" t="s">
        <v>7</v>
      </c>
      <c r="V22" s="75" t="s">
        <v>7</v>
      </c>
      <c r="W22" s="77" t="s">
        <v>7</v>
      </c>
      <c r="X22" s="65" t="str">
        <f t="shared" si="0"/>
        <v>-</v>
      </c>
      <c r="Y22" s="63" t="str">
        <f>IF(SUM(D22:W22)=0,"-",LOOKUP(X22,Лист3!$A$2:$B$35))</f>
        <v>-</v>
      </c>
      <c r="Z22" s="64" t="str">
        <f>IF(SUM(C22:W22)=0,"-",LOOKUP(Y22,Лист3!$D$2:$E$102))</f>
        <v>-</v>
      </c>
    </row>
    <row r="23" spans="1:26" ht="15.75">
      <c r="A23" s="36">
        <v>20</v>
      </c>
      <c r="B23" s="73" t="s">
        <v>7</v>
      </c>
      <c r="C23" s="74"/>
      <c r="D23" s="75" t="s">
        <v>7</v>
      </c>
      <c r="E23" s="75" t="s">
        <v>7</v>
      </c>
      <c r="F23" s="75" t="s">
        <v>7</v>
      </c>
      <c r="G23" s="75" t="s">
        <v>7</v>
      </c>
      <c r="H23" s="75" t="s">
        <v>7</v>
      </c>
      <c r="I23" s="75" t="s">
        <v>7</v>
      </c>
      <c r="J23" s="75" t="s">
        <v>7</v>
      </c>
      <c r="K23" s="75" t="s">
        <v>7</v>
      </c>
      <c r="L23" s="75" t="s">
        <v>7</v>
      </c>
      <c r="M23" s="75" t="s">
        <v>7</v>
      </c>
      <c r="N23" s="75" t="s">
        <v>7</v>
      </c>
      <c r="O23" s="75" t="s">
        <v>7</v>
      </c>
      <c r="P23" s="76" t="s">
        <v>7</v>
      </c>
      <c r="Q23" s="74" t="s">
        <v>7</v>
      </c>
      <c r="R23" s="75" t="s">
        <v>7</v>
      </c>
      <c r="S23" s="75" t="s">
        <v>7</v>
      </c>
      <c r="T23" s="75" t="s">
        <v>7</v>
      </c>
      <c r="U23" s="75" t="s">
        <v>7</v>
      </c>
      <c r="V23" s="75" t="s">
        <v>7</v>
      </c>
      <c r="W23" s="77" t="s">
        <v>7</v>
      </c>
      <c r="X23" s="65" t="str">
        <f t="shared" si="0"/>
        <v>-</v>
      </c>
      <c r="Y23" s="63" t="str">
        <f>IF(SUM(D23:W23)=0,"-",LOOKUP(X23,Лист3!$A$2:$B$35))</f>
        <v>-</v>
      </c>
      <c r="Z23" s="64" t="str">
        <f>IF(SUM(C23:W23)=0,"-",LOOKUP(Y23,Лист3!$D$2:$E$102))</f>
        <v>-</v>
      </c>
    </row>
    <row r="24" spans="1:26" ht="15.75">
      <c r="A24" s="36">
        <v>21</v>
      </c>
      <c r="B24" s="73" t="s">
        <v>7</v>
      </c>
      <c r="C24" s="74" t="s">
        <v>7</v>
      </c>
      <c r="D24" s="75" t="s">
        <v>7</v>
      </c>
      <c r="E24" s="75" t="s">
        <v>7</v>
      </c>
      <c r="F24" s="75" t="s">
        <v>7</v>
      </c>
      <c r="G24" s="75" t="s">
        <v>7</v>
      </c>
      <c r="H24" s="75" t="s">
        <v>7</v>
      </c>
      <c r="I24" s="75" t="s">
        <v>7</v>
      </c>
      <c r="J24" s="75" t="s">
        <v>7</v>
      </c>
      <c r="K24" s="75" t="s">
        <v>7</v>
      </c>
      <c r="L24" s="75" t="s">
        <v>7</v>
      </c>
      <c r="M24" s="75" t="s">
        <v>7</v>
      </c>
      <c r="N24" s="75" t="s">
        <v>7</v>
      </c>
      <c r="O24" s="75" t="s">
        <v>7</v>
      </c>
      <c r="P24" s="76" t="s">
        <v>7</v>
      </c>
      <c r="Q24" s="74" t="s">
        <v>7</v>
      </c>
      <c r="R24" s="75" t="s">
        <v>7</v>
      </c>
      <c r="S24" s="75" t="s">
        <v>7</v>
      </c>
      <c r="T24" s="75" t="s">
        <v>7</v>
      </c>
      <c r="U24" s="75" t="s">
        <v>7</v>
      </c>
      <c r="V24" s="75" t="s">
        <v>7</v>
      </c>
      <c r="W24" s="77" t="s">
        <v>7</v>
      </c>
      <c r="X24" s="65" t="str">
        <f t="shared" si="0"/>
        <v>-</v>
      </c>
      <c r="Y24" s="63" t="str">
        <f>IF(SUM(D24:W24)=0,"-",LOOKUP(X24,Лист3!$A$2:$B$35))</f>
        <v>-</v>
      </c>
      <c r="Z24" s="64" t="str">
        <f>IF(SUM(C24:W24)=0,"-",LOOKUP(Y24,Лист3!$D$2:$E$102))</f>
        <v>-</v>
      </c>
    </row>
    <row r="25" spans="1:26" ht="15.75">
      <c r="A25" s="36">
        <v>22</v>
      </c>
      <c r="B25" s="73" t="s">
        <v>7</v>
      </c>
      <c r="C25" s="74" t="s">
        <v>7</v>
      </c>
      <c r="D25" s="75" t="s">
        <v>7</v>
      </c>
      <c r="E25" s="75" t="s">
        <v>7</v>
      </c>
      <c r="F25" s="75" t="s">
        <v>7</v>
      </c>
      <c r="G25" s="75" t="s">
        <v>7</v>
      </c>
      <c r="H25" s="75" t="s">
        <v>7</v>
      </c>
      <c r="I25" s="75" t="s">
        <v>7</v>
      </c>
      <c r="J25" s="75" t="s">
        <v>7</v>
      </c>
      <c r="K25" s="75" t="s">
        <v>7</v>
      </c>
      <c r="L25" s="75" t="s">
        <v>7</v>
      </c>
      <c r="M25" s="75" t="s">
        <v>7</v>
      </c>
      <c r="N25" s="75" t="s">
        <v>7</v>
      </c>
      <c r="O25" s="75" t="s">
        <v>7</v>
      </c>
      <c r="P25" s="76" t="s">
        <v>7</v>
      </c>
      <c r="Q25" s="74" t="s">
        <v>7</v>
      </c>
      <c r="R25" s="75" t="s">
        <v>7</v>
      </c>
      <c r="S25" s="75" t="s">
        <v>7</v>
      </c>
      <c r="T25" s="75" t="s">
        <v>7</v>
      </c>
      <c r="U25" s="75" t="s">
        <v>7</v>
      </c>
      <c r="V25" s="75" t="s">
        <v>7</v>
      </c>
      <c r="W25" s="77" t="s">
        <v>7</v>
      </c>
      <c r="X25" s="65" t="str">
        <f t="shared" si="0"/>
        <v>-</v>
      </c>
      <c r="Y25" s="63" t="str">
        <f>IF(SUM(D25:W25)=0,"-",LOOKUP(X25,Лист3!$A$2:$B$35))</f>
        <v>-</v>
      </c>
      <c r="Z25" s="64" t="str">
        <f>IF(SUM(C25:W25)=0,"-",LOOKUP(Y25,Лист3!$D$2:$E$102))</f>
        <v>-</v>
      </c>
    </row>
    <row r="26" spans="1:26" ht="15.75">
      <c r="A26" s="36">
        <v>23</v>
      </c>
      <c r="B26" s="73" t="s">
        <v>7</v>
      </c>
      <c r="C26" s="74" t="s">
        <v>7</v>
      </c>
      <c r="D26" s="75" t="s">
        <v>7</v>
      </c>
      <c r="E26" s="75" t="s">
        <v>7</v>
      </c>
      <c r="F26" s="75" t="s">
        <v>7</v>
      </c>
      <c r="G26" s="75" t="s">
        <v>7</v>
      </c>
      <c r="H26" s="75" t="s">
        <v>7</v>
      </c>
      <c r="I26" s="75" t="s">
        <v>7</v>
      </c>
      <c r="J26" s="75" t="s">
        <v>7</v>
      </c>
      <c r="K26" s="75" t="s">
        <v>7</v>
      </c>
      <c r="L26" s="75" t="s">
        <v>7</v>
      </c>
      <c r="M26" s="75" t="s">
        <v>7</v>
      </c>
      <c r="N26" s="75" t="s">
        <v>7</v>
      </c>
      <c r="O26" s="75" t="s">
        <v>7</v>
      </c>
      <c r="P26" s="76" t="s">
        <v>7</v>
      </c>
      <c r="Q26" s="74" t="s">
        <v>7</v>
      </c>
      <c r="R26" s="75" t="s">
        <v>7</v>
      </c>
      <c r="S26" s="75" t="s">
        <v>7</v>
      </c>
      <c r="T26" s="75" t="s">
        <v>7</v>
      </c>
      <c r="U26" s="75" t="s">
        <v>7</v>
      </c>
      <c r="V26" s="75" t="s">
        <v>7</v>
      </c>
      <c r="W26" s="77" t="s">
        <v>7</v>
      </c>
      <c r="X26" s="65" t="str">
        <f t="shared" si="0"/>
        <v>-</v>
      </c>
      <c r="Y26" s="63" t="str">
        <f>IF(SUM(D26:W26)=0,"-",LOOKUP(X26,Лист3!$A$2:$B$35))</f>
        <v>-</v>
      </c>
      <c r="Z26" s="64" t="str">
        <f>IF(SUM(C26:W26)=0,"-",LOOKUP(Y26,Лист3!$D$2:$E$102))</f>
        <v>-</v>
      </c>
    </row>
    <row r="27" spans="1:26" ht="15.75">
      <c r="A27" s="36">
        <v>24</v>
      </c>
      <c r="B27" s="73" t="s">
        <v>7</v>
      </c>
      <c r="C27" s="74" t="s">
        <v>7</v>
      </c>
      <c r="D27" s="75" t="s">
        <v>7</v>
      </c>
      <c r="E27" s="75" t="s">
        <v>7</v>
      </c>
      <c r="F27" s="75" t="s">
        <v>7</v>
      </c>
      <c r="G27" s="75" t="s">
        <v>7</v>
      </c>
      <c r="H27" s="75" t="s">
        <v>7</v>
      </c>
      <c r="I27" s="75" t="s">
        <v>7</v>
      </c>
      <c r="J27" s="75" t="s">
        <v>7</v>
      </c>
      <c r="K27" s="75" t="s">
        <v>7</v>
      </c>
      <c r="L27" s="75" t="s">
        <v>7</v>
      </c>
      <c r="M27" s="75" t="s">
        <v>7</v>
      </c>
      <c r="N27" s="75" t="s">
        <v>7</v>
      </c>
      <c r="O27" s="75" t="s">
        <v>7</v>
      </c>
      <c r="P27" s="76" t="s">
        <v>7</v>
      </c>
      <c r="Q27" s="74" t="s">
        <v>7</v>
      </c>
      <c r="R27" s="75" t="s">
        <v>7</v>
      </c>
      <c r="S27" s="75" t="s">
        <v>7</v>
      </c>
      <c r="T27" s="75" t="s">
        <v>7</v>
      </c>
      <c r="U27" s="75" t="s">
        <v>7</v>
      </c>
      <c r="V27" s="75" t="s">
        <v>7</v>
      </c>
      <c r="W27" s="77" t="s">
        <v>7</v>
      </c>
      <c r="X27" s="65" t="str">
        <f t="shared" si="0"/>
        <v>-</v>
      </c>
      <c r="Y27" s="63" t="str">
        <f>IF(SUM(D27:W27)=0,"-",LOOKUP(X27,Лист3!$A$2:$B$35))</f>
        <v>-</v>
      </c>
      <c r="Z27" s="64" t="str">
        <f>IF(SUM(C27:W27)=0,"-",LOOKUP(Y27,Лист3!$D$2:$E$102))</f>
        <v>-</v>
      </c>
    </row>
    <row r="28" spans="1:26" ht="15.75">
      <c r="A28" s="36">
        <v>25</v>
      </c>
      <c r="B28" s="73" t="s">
        <v>7</v>
      </c>
      <c r="C28" s="74" t="s">
        <v>7</v>
      </c>
      <c r="D28" s="75" t="s">
        <v>7</v>
      </c>
      <c r="E28" s="75" t="s">
        <v>7</v>
      </c>
      <c r="F28" s="75" t="s">
        <v>7</v>
      </c>
      <c r="G28" s="75" t="s">
        <v>7</v>
      </c>
      <c r="H28" s="75" t="s">
        <v>7</v>
      </c>
      <c r="I28" s="75" t="s">
        <v>7</v>
      </c>
      <c r="J28" s="75" t="s">
        <v>7</v>
      </c>
      <c r="K28" s="75" t="s">
        <v>7</v>
      </c>
      <c r="L28" s="75" t="s">
        <v>7</v>
      </c>
      <c r="M28" s="75" t="s">
        <v>7</v>
      </c>
      <c r="N28" s="75" t="s">
        <v>7</v>
      </c>
      <c r="O28" s="75" t="s">
        <v>7</v>
      </c>
      <c r="P28" s="76" t="s">
        <v>7</v>
      </c>
      <c r="Q28" s="74" t="s">
        <v>7</v>
      </c>
      <c r="R28" s="75" t="s">
        <v>7</v>
      </c>
      <c r="S28" s="75" t="s">
        <v>7</v>
      </c>
      <c r="T28" s="75" t="s">
        <v>7</v>
      </c>
      <c r="U28" s="75" t="s">
        <v>7</v>
      </c>
      <c r="V28" s="75" t="s">
        <v>7</v>
      </c>
      <c r="W28" s="77" t="s">
        <v>7</v>
      </c>
      <c r="X28" s="65" t="str">
        <f t="shared" si="0"/>
        <v>-</v>
      </c>
      <c r="Y28" s="63" t="str">
        <f>IF(SUM(D28:W28)=0,"-",LOOKUP(X28,Лист3!$A$2:$B$35))</f>
        <v>-</v>
      </c>
      <c r="Z28" s="64" t="str">
        <f>IF(SUM(C28:W28)=0,"-",LOOKUP(Y28,Лист3!$D$2:$E$102))</f>
        <v>-</v>
      </c>
    </row>
    <row r="29" spans="1:26" ht="15.75">
      <c r="A29" s="36">
        <v>26</v>
      </c>
      <c r="B29" s="73" t="s">
        <v>7</v>
      </c>
      <c r="C29" s="74" t="s">
        <v>7</v>
      </c>
      <c r="D29" s="75" t="s">
        <v>7</v>
      </c>
      <c r="E29" s="75" t="s">
        <v>7</v>
      </c>
      <c r="F29" s="75" t="s">
        <v>7</v>
      </c>
      <c r="G29" s="75" t="s">
        <v>7</v>
      </c>
      <c r="H29" s="75" t="s">
        <v>7</v>
      </c>
      <c r="I29" s="75" t="s">
        <v>7</v>
      </c>
      <c r="J29" s="75" t="s">
        <v>7</v>
      </c>
      <c r="K29" s="75" t="s">
        <v>7</v>
      </c>
      <c r="L29" s="75" t="s">
        <v>7</v>
      </c>
      <c r="M29" s="75" t="s">
        <v>7</v>
      </c>
      <c r="N29" s="75" t="s">
        <v>7</v>
      </c>
      <c r="O29" s="75" t="s">
        <v>7</v>
      </c>
      <c r="P29" s="76" t="s">
        <v>7</v>
      </c>
      <c r="Q29" s="74" t="s">
        <v>7</v>
      </c>
      <c r="R29" s="75" t="s">
        <v>7</v>
      </c>
      <c r="S29" s="75" t="s">
        <v>7</v>
      </c>
      <c r="T29" s="75" t="s">
        <v>7</v>
      </c>
      <c r="U29" s="75" t="s">
        <v>7</v>
      </c>
      <c r="V29" s="75" t="s">
        <v>7</v>
      </c>
      <c r="W29" s="77" t="s">
        <v>7</v>
      </c>
      <c r="X29" s="65" t="str">
        <f t="shared" si="0"/>
        <v>-</v>
      </c>
      <c r="Y29" s="63" t="str">
        <f>IF(SUM(D29:W29)=0,"-",LOOKUP(X29,Лист3!$A$2:$B$35))</f>
        <v>-</v>
      </c>
      <c r="Z29" s="64" t="str">
        <f>IF(SUM(C29:W29)=0,"-",LOOKUP(Y29,Лист3!$D$2:$E$102))</f>
        <v>-</v>
      </c>
    </row>
    <row r="30" spans="1:26" ht="15.75">
      <c r="A30" s="36">
        <v>27</v>
      </c>
      <c r="B30" s="73" t="s">
        <v>7</v>
      </c>
      <c r="C30" s="74" t="s">
        <v>7</v>
      </c>
      <c r="D30" s="75" t="s">
        <v>7</v>
      </c>
      <c r="E30" s="75" t="s">
        <v>7</v>
      </c>
      <c r="F30" s="75" t="s">
        <v>7</v>
      </c>
      <c r="G30" s="75" t="s">
        <v>7</v>
      </c>
      <c r="H30" s="75" t="s">
        <v>7</v>
      </c>
      <c r="I30" s="75" t="s">
        <v>7</v>
      </c>
      <c r="J30" s="75" t="s">
        <v>7</v>
      </c>
      <c r="K30" s="75" t="s">
        <v>7</v>
      </c>
      <c r="L30" s="75" t="s">
        <v>7</v>
      </c>
      <c r="M30" s="75" t="s">
        <v>7</v>
      </c>
      <c r="N30" s="75" t="s">
        <v>7</v>
      </c>
      <c r="O30" s="75" t="s">
        <v>7</v>
      </c>
      <c r="P30" s="76" t="s">
        <v>7</v>
      </c>
      <c r="Q30" s="74" t="s">
        <v>7</v>
      </c>
      <c r="R30" s="75" t="s">
        <v>7</v>
      </c>
      <c r="S30" s="75" t="s">
        <v>7</v>
      </c>
      <c r="T30" s="75" t="s">
        <v>7</v>
      </c>
      <c r="U30" s="75" t="s">
        <v>7</v>
      </c>
      <c r="V30" s="75" t="s">
        <v>7</v>
      </c>
      <c r="W30" s="77" t="s">
        <v>7</v>
      </c>
      <c r="X30" s="65" t="str">
        <f t="shared" si="0"/>
        <v>-</v>
      </c>
      <c r="Y30" s="63" t="str">
        <f>IF(SUM(D30:W30)=0,"-",LOOKUP(X30,Лист3!$A$2:$B$35))</f>
        <v>-</v>
      </c>
      <c r="Z30" s="64" t="str">
        <f>IF(SUM(C30:W30)=0,"-",LOOKUP(Y30,Лист3!$D$2:$E$102))</f>
        <v>-</v>
      </c>
    </row>
    <row r="31" spans="1:26" ht="15.75">
      <c r="A31" s="36">
        <v>28</v>
      </c>
      <c r="B31" s="73" t="s">
        <v>7</v>
      </c>
      <c r="C31" s="74" t="s">
        <v>7</v>
      </c>
      <c r="D31" s="75" t="s">
        <v>7</v>
      </c>
      <c r="E31" s="75" t="s">
        <v>7</v>
      </c>
      <c r="F31" s="75" t="s">
        <v>7</v>
      </c>
      <c r="G31" s="75" t="s">
        <v>7</v>
      </c>
      <c r="H31" s="75" t="s">
        <v>7</v>
      </c>
      <c r="I31" s="75" t="s">
        <v>7</v>
      </c>
      <c r="J31" s="75" t="s">
        <v>7</v>
      </c>
      <c r="K31" s="75" t="s">
        <v>7</v>
      </c>
      <c r="L31" s="75" t="s">
        <v>7</v>
      </c>
      <c r="M31" s="75" t="s">
        <v>7</v>
      </c>
      <c r="N31" s="75" t="s">
        <v>7</v>
      </c>
      <c r="O31" s="75" t="s">
        <v>7</v>
      </c>
      <c r="P31" s="76" t="s">
        <v>7</v>
      </c>
      <c r="Q31" s="74" t="s">
        <v>7</v>
      </c>
      <c r="R31" s="75" t="s">
        <v>7</v>
      </c>
      <c r="S31" s="75" t="s">
        <v>7</v>
      </c>
      <c r="T31" s="75" t="s">
        <v>7</v>
      </c>
      <c r="U31" s="75" t="s">
        <v>7</v>
      </c>
      <c r="V31" s="75" t="s">
        <v>7</v>
      </c>
      <c r="W31" s="77" t="s">
        <v>7</v>
      </c>
      <c r="X31" s="65" t="str">
        <f t="shared" si="0"/>
        <v>-</v>
      </c>
      <c r="Y31" s="63" t="str">
        <f>IF(SUM(D31:W31)=0,"-",LOOKUP(X31,Лист3!$A$2:$B$35))</f>
        <v>-</v>
      </c>
      <c r="Z31" s="64" t="str">
        <f>IF(SUM(C31:W31)=0,"-",LOOKUP(Y31,Лист3!$D$2:$E$102))</f>
        <v>-</v>
      </c>
    </row>
    <row r="32" spans="1:26" ht="15.75">
      <c r="A32" s="36">
        <v>29</v>
      </c>
      <c r="B32" s="73" t="s">
        <v>7</v>
      </c>
      <c r="C32" s="74" t="s">
        <v>7</v>
      </c>
      <c r="D32" s="75" t="s">
        <v>7</v>
      </c>
      <c r="E32" s="75" t="s">
        <v>7</v>
      </c>
      <c r="F32" s="75" t="s">
        <v>7</v>
      </c>
      <c r="G32" s="75" t="s">
        <v>7</v>
      </c>
      <c r="H32" s="75" t="s">
        <v>7</v>
      </c>
      <c r="I32" s="75" t="s">
        <v>7</v>
      </c>
      <c r="J32" s="75" t="s">
        <v>7</v>
      </c>
      <c r="K32" s="75" t="s">
        <v>7</v>
      </c>
      <c r="L32" s="75" t="s">
        <v>7</v>
      </c>
      <c r="M32" s="75" t="s">
        <v>7</v>
      </c>
      <c r="N32" s="75" t="s">
        <v>7</v>
      </c>
      <c r="O32" s="75" t="s">
        <v>7</v>
      </c>
      <c r="P32" s="76" t="s">
        <v>7</v>
      </c>
      <c r="Q32" s="74" t="s">
        <v>7</v>
      </c>
      <c r="R32" s="75" t="s">
        <v>7</v>
      </c>
      <c r="S32" s="75" t="s">
        <v>7</v>
      </c>
      <c r="T32" s="75" t="s">
        <v>7</v>
      </c>
      <c r="U32" s="75" t="s">
        <v>7</v>
      </c>
      <c r="V32" s="75" t="s">
        <v>7</v>
      </c>
      <c r="W32" s="77" t="s">
        <v>7</v>
      </c>
      <c r="X32" s="65" t="str">
        <f t="shared" si="0"/>
        <v>-</v>
      </c>
      <c r="Y32" s="63" t="str">
        <f>IF(SUM(D32:W32)=0,"-",LOOKUP(X32,Лист3!$A$2:$B$35))</f>
        <v>-</v>
      </c>
      <c r="Z32" s="64" t="str">
        <f>IF(SUM(C32:W32)=0,"-",LOOKUP(Y32,Лист3!$D$2:$E$102))</f>
        <v>-</v>
      </c>
    </row>
    <row r="33" spans="1:26" ht="15.75">
      <c r="A33" s="36">
        <v>30</v>
      </c>
      <c r="B33" s="73" t="s">
        <v>7</v>
      </c>
      <c r="C33" s="74" t="s">
        <v>7</v>
      </c>
      <c r="D33" s="75" t="s">
        <v>7</v>
      </c>
      <c r="E33" s="75" t="s">
        <v>7</v>
      </c>
      <c r="F33" s="75" t="s">
        <v>7</v>
      </c>
      <c r="G33" s="75" t="s">
        <v>7</v>
      </c>
      <c r="H33" s="75" t="s">
        <v>7</v>
      </c>
      <c r="I33" s="75" t="s">
        <v>7</v>
      </c>
      <c r="J33" s="75" t="s">
        <v>7</v>
      </c>
      <c r="K33" s="75" t="s">
        <v>7</v>
      </c>
      <c r="L33" s="75" t="s">
        <v>7</v>
      </c>
      <c r="M33" s="75" t="s">
        <v>7</v>
      </c>
      <c r="N33" s="75" t="s">
        <v>7</v>
      </c>
      <c r="O33" s="75" t="s">
        <v>7</v>
      </c>
      <c r="P33" s="76" t="s">
        <v>7</v>
      </c>
      <c r="Q33" s="74" t="s">
        <v>7</v>
      </c>
      <c r="R33" s="75" t="s">
        <v>7</v>
      </c>
      <c r="S33" s="75" t="s">
        <v>7</v>
      </c>
      <c r="T33" s="75" t="s">
        <v>7</v>
      </c>
      <c r="U33" s="75" t="s">
        <v>7</v>
      </c>
      <c r="V33" s="75" t="s">
        <v>7</v>
      </c>
      <c r="W33" s="77" t="s">
        <v>7</v>
      </c>
      <c r="X33" s="65" t="str">
        <f t="shared" si="0"/>
        <v>-</v>
      </c>
      <c r="Y33" s="63" t="str">
        <f>IF(SUM(D33:W33)=0,"-",LOOKUP(X33,Лист3!$A$2:$B$35))</f>
        <v>-</v>
      </c>
      <c r="Z33" s="64" t="str">
        <f>IF(SUM(C33:W33)=0,"-",LOOKUP(Y33,Лист3!$D$2:$E$102))</f>
        <v>-</v>
      </c>
    </row>
    <row r="34" spans="1:26" ht="15.75">
      <c r="A34" s="36">
        <v>31</v>
      </c>
      <c r="B34" s="73" t="s">
        <v>7</v>
      </c>
      <c r="C34" s="74"/>
      <c r="D34" s="75" t="s">
        <v>7</v>
      </c>
      <c r="E34" s="75" t="s">
        <v>7</v>
      </c>
      <c r="F34" s="75" t="s">
        <v>7</v>
      </c>
      <c r="G34" s="75" t="s">
        <v>7</v>
      </c>
      <c r="H34" s="75" t="s">
        <v>7</v>
      </c>
      <c r="I34" s="75" t="s">
        <v>7</v>
      </c>
      <c r="J34" s="75" t="s">
        <v>7</v>
      </c>
      <c r="K34" s="75" t="s">
        <v>7</v>
      </c>
      <c r="L34" s="75" t="s">
        <v>7</v>
      </c>
      <c r="M34" s="75" t="s">
        <v>7</v>
      </c>
      <c r="N34" s="75" t="s">
        <v>7</v>
      </c>
      <c r="O34" s="75" t="s">
        <v>7</v>
      </c>
      <c r="P34" s="76" t="s">
        <v>7</v>
      </c>
      <c r="Q34" s="74" t="s">
        <v>7</v>
      </c>
      <c r="R34" s="75" t="s">
        <v>7</v>
      </c>
      <c r="S34" s="75" t="s">
        <v>7</v>
      </c>
      <c r="T34" s="75" t="s">
        <v>7</v>
      </c>
      <c r="U34" s="75" t="s">
        <v>7</v>
      </c>
      <c r="V34" s="75" t="s">
        <v>7</v>
      </c>
      <c r="W34" s="77" t="s">
        <v>7</v>
      </c>
      <c r="X34" s="65" t="str">
        <f t="shared" si="0"/>
        <v>-</v>
      </c>
      <c r="Y34" s="63" t="str">
        <f>IF(SUM(D34:W34)=0,"-",LOOKUP(X34,Лист3!$A$2:$B$35))</f>
        <v>-</v>
      </c>
      <c r="Z34" s="64" t="str">
        <f>IF(SUM(C34:W34)=0,"-",LOOKUP(Y34,Лист3!$D$2:$E$102))</f>
        <v>-</v>
      </c>
    </row>
    <row r="35" spans="1:26" ht="15.75">
      <c r="A35" s="36">
        <v>32</v>
      </c>
      <c r="B35" s="73" t="s">
        <v>7</v>
      </c>
      <c r="C35" s="74" t="s">
        <v>7</v>
      </c>
      <c r="D35" s="75" t="s">
        <v>7</v>
      </c>
      <c r="E35" s="75" t="s">
        <v>7</v>
      </c>
      <c r="F35" s="75" t="s">
        <v>7</v>
      </c>
      <c r="G35" s="75" t="s">
        <v>7</v>
      </c>
      <c r="H35" s="75" t="s">
        <v>7</v>
      </c>
      <c r="I35" s="75" t="s">
        <v>7</v>
      </c>
      <c r="J35" s="75" t="s">
        <v>7</v>
      </c>
      <c r="K35" s="75" t="s">
        <v>7</v>
      </c>
      <c r="L35" s="75" t="s">
        <v>7</v>
      </c>
      <c r="M35" s="75" t="s">
        <v>7</v>
      </c>
      <c r="N35" s="75" t="s">
        <v>7</v>
      </c>
      <c r="O35" s="75" t="s">
        <v>7</v>
      </c>
      <c r="P35" s="76" t="s">
        <v>7</v>
      </c>
      <c r="Q35" s="74" t="s">
        <v>7</v>
      </c>
      <c r="R35" s="75" t="s">
        <v>7</v>
      </c>
      <c r="S35" s="75" t="s">
        <v>7</v>
      </c>
      <c r="T35" s="75" t="s">
        <v>7</v>
      </c>
      <c r="U35" s="75" t="s">
        <v>7</v>
      </c>
      <c r="V35" s="75" t="s">
        <v>7</v>
      </c>
      <c r="W35" s="77" t="s">
        <v>7</v>
      </c>
      <c r="X35" s="65" t="str">
        <f t="shared" si="0"/>
        <v>-</v>
      </c>
      <c r="Y35" s="63" t="str">
        <f>IF(SUM(D35:W35)=0,"-",LOOKUP(X35,Лист3!$A$2:$B$35))</f>
        <v>-</v>
      </c>
      <c r="Z35" s="64" t="str">
        <f>IF(SUM(C35:W35)=0,"-",LOOKUP(Y35,Лист3!$D$2:$E$102))</f>
        <v>-</v>
      </c>
    </row>
    <row r="36" spans="1:26" ht="15.75">
      <c r="A36" s="36">
        <v>33</v>
      </c>
      <c r="B36" s="73" t="s">
        <v>7</v>
      </c>
      <c r="C36" s="74" t="s">
        <v>7</v>
      </c>
      <c r="D36" s="75" t="s">
        <v>7</v>
      </c>
      <c r="E36" s="75" t="s">
        <v>7</v>
      </c>
      <c r="F36" s="75" t="s">
        <v>7</v>
      </c>
      <c r="G36" s="75" t="s">
        <v>7</v>
      </c>
      <c r="H36" s="75" t="s">
        <v>7</v>
      </c>
      <c r="I36" s="75" t="s">
        <v>7</v>
      </c>
      <c r="J36" s="75" t="s">
        <v>7</v>
      </c>
      <c r="K36" s="75" t="s">
        <v>7</v>
      </c>
      <c r="L36" s="75" t="s">
        <v>7</v>
      </c>
      <c r="M36" s="75" t="s">
        <v>7</v>
      </c>
      <c r="N36" s="75" t="s">
        <v>7</v>
      </c>
      <c r="O36" s="75" t="s">
        <v>7</v>
      </c>
      <c r="P36" s="76" t="s">
        <v>7</v>
      </c>
      <c r="Q36" s="74" t="s">
        <v>7</v>
      </c>
      <c r="R36" s="75" t="s">
        <v>7</v>
      </c>
      <c r="S36" s="75" t="s">
        <v>7</v>
      </c>
      <c r="T36" s="75" t="s">
        <v>7</v>
      </c>
      <c r="U36" s="75" t="s">
        <v>7</v>
      </c>
      <c r="V36" s="75" t="s">
        <v>7</v>
      </c>
      <c r="W36" s="77" t="s">
        <v>7</v>
      </c>
      <c r="X36" s="65" t="str">
        <f t="shared" si="0"/>
        <v>-</v>
      </c>
      <c r="Y36" s="63" t="str">
        <f>IF(SUM(D36:W36)=0,"-",LOOKUP(X36,Лист3!$A$2:$B$35))</f>
        <v>-</v>
      </c>
      <c r="Z36" s="64" t="str">
        <f>IF(SUM(C36:W36)=0,"-",LOOKUP(Y36,Лист3!$D$2:$E$102))</f>
        <v>-</v>
      </c>
    </row>
    <row r="37" spans="1:26" ht="15.75">
      <c r="A37" s="36">
        <v>34</v>
      </c>
      <c r="B37" s="73" t="s">
        <v>7</v>
      </c>
      <c r="C37" s="74" t="s">
        <v>7</v>
      </c>
      <c r="D37" s="75" t="s">
        <v>7</v>
      </c>
      <c r="E37" s="75" t="s">
        <v>7</v>
      </c>
      <c r="F37" s="75" t="s">
        <v>7</v>
      </c>
      <c r="G37" s="75" t="s">
        <v>7</v>
      </c>
      <c r="H37" s="75" t="s">
        <v>7</v>
      </c>
      <c r="I37" s="75" t="s">
        <v>7</v>
      </c>
      <c r="J37" s="75" t="s">
        <v>7</v>
      </c>
      <c r="K37" s="75" t="s">
        <v>7</v>
      </c>
      <c r="L37" s="75" t="s">
        <v>7</v>
      </c>
      <c r="M37" s="75" t="s">
        <v>7</v>
      </c>
      <c r="N37" s="75" t="s">
        <v>7</v>
      </c>
      <c r="O37" s="75" t="s">
        <v>7</v>
      </c>
      <c r="P37" s="76" t="s">
        <v>7</v>
      </c>
      <c r="Q37" s="74" t="s">
        <v>7</v>
      </c>
      <c r="R37" s="75" t="s">
        <v>7</v>
      </c>
      <c r="S37" s="75" t="s">
        <v>7</v>
      </c>
      <c r="T37" s="75" t="s">
        <v>7</v>
      </c>
      <c r="U37" s="75" t="s">
        <v>7</v>
      </c>
      <c r="V37" s="75" t="s">
        <v>7</v>
      </c>
      <c r="W37" s="77" t="s">
        <v>7</v>
      </c>
      <c r="X37" s="65" t="str">
        <f t="shared" si="0"/>
        <v>-</v>
      </c>
      <c r="Y37" s="63" t="str">
        <f>IF(SUM(D37:W37)=0,"-",LOOKUP(X37,Лист3!$A$2:$B$35))</f>
        <v>-</v>
      </c>
      <c r="Z37" s="64" t="str">
        <f>IF(SUM(C37:W37)=0,"-",LOOKUP(Y37,Лист3!$D$2:$E$102))</f>
        <v>-</v>
      </c>
    </row>
    <row r="38" spans="1:26" ht="15.75">
      <c r="A38" s="36">
        <v>35</v>
      </c>
      <c r="B38" s="73" t="s">
        <v>7</v>
      </c>
      <c r="C38" s="74" t="s">
        <v>7</v>
      </c>
      <c r="D38" s="75" t="s">
        <v>7</v>
      </c>
      <c r="E38" s="75" t="s">
        <v>7</v>
      </c>
      <c r="F38" s="75" t="s">
        <v>7</v>
      </c>
      <c r="G38" s="75" t="s">
        <v>7</v>
      </c>
      <c r="H38" s="75" t="s">
        <v>7</v>
      </c>
      <c r="I38" s="75" t="s">
        <v>7</v>
      </c>
      <c r="J38" s="75" t="s">
        <v>7</v>
      </c>
      <c r="K38" s="75" t="s">
        <v>7</v>
      </c>
      <c r="L38" s="75" t="s">
        <v>7</v>
      </c>
      <c r="M38" s="75" t="s">
        <v>7</v>
      </c>
      <c r="N38" s="75" t="s">
        <v>7</v>
      </c>
      <c r="O38" s="75" t="s">
        <v>7</v>
      </c>
      <c r="P38" s="76" t="s">
        <v>7</v>
      </c>
      <c r="Q38" s="74" t="s">
        <v>7</v>
      </c>
      <c r="R38" s="75" t="s">
        <v>7</v>
      </c>
      <c r="S38" s="75" t="s">
        <v>7</v>
      </c>
      <c r="T38" s="75" t="s">
        <v>7</v>
      </c>
      <c r="U38" s="75" t="s">
        <v>7</v>
      </c>
      <c r="V38" s="75" t="s">
        <v>7</v>
      </c>
      <c r="W38" s="77" t="s">
        <v>7</v>
      </c>
      <c r="X38" s="65" t="str">
        <f t="shared" si="0"/>
        <v>-</v>
      </c>
      <c r="Y38" s="63" t="str">
        <f>IF(SUM(D38:W38)=0,"-",LOOKUP(X38,Лист3!$A$2:$B$35))</f>
        <v>-</v>
      </c>
      <c r="Z38" s="64" t="str">
        <f>IF(SUM(C38:W38)=0,"-",LOOKUP(Y38,Лист3!$D$2:$E$102))</f>
        <v>-</v>
      </c>
    </row>
    <row r="39" spans="1:26" ht="15.75">
      <c r="A39" s="36">
        <v>36</v>
      </c>
      <c r="B39" s="73" t="s">
        <v>7</v>
      </c>
      <c r="C39" s="74"/>
      <c r="D39" s="75" t="s">
        <v>7</v>
      </c>
      <c r="E39" s="75" t="s">
        <v>7</v>
      </c>
      <c r="F39" s="75" t="s">
        <v>7</v>
      </c>
      <c r="G39" s="75" t="s">
        <v>7</v>
      </c>
      <c r="H39" s="75" t="s">
        <v>7</v>
      </c>
      <c r="I39" s="75" t="s">
        <v>7</v>
      </c>
      <c r="J39" s="75" t="s">
        <v>7</v>
      </c>
      <c r="K39" s="75" t="s">
        <v>7</v>
      </c>
      <c r="L39" s="75" t="s">
        <v>7</v>
      </c>
      <c r="M39" s="75" t="s">
        <v>7</v>
      </c>
      <c r="N39" s="75" t="s">
        <v>7</v>
      </c>
      <c r="O39" s="75" t="s">
        <v>7</v>
      </c>
      <c r="P39" s="76" t="s">
        <v>7</v>
      </c>
      <c r="Q39" s="74" t="s">
        <v>7</v>
      </c>
      <c r="R39" s="75" t="s">
        <v>7</v>
      </c>
      <c r="S39" s="75" t="s">
        <v>7</v>
      </c>
      <c r="T39" s="75" t="s">
        <v>7</v>
      </c>
      <c r="U39" s="75" t="s">
        <v>7</v>
      </c>
      <c r="V39" s="75" t="s">
        <v>7</v>
      </c>
      <c r="W39" s="77" t="s">
        <v>7</v>
      </c>
      <c r="X39" s="65" t="str">
        <f t="shared" si="0"/>
        <v>-</v>
      </c>
      <c r="Y39" s="63" t="str">
        <f>IF(SUM(D39:W39)=0,"-",LOOKUP(X39,Лист3!$A$2:$B$35))</f>
        <v>-</v>
      </c>
      <c r="Z39" s="64" t="str">
        <f>IF(SUM(C39:W39)=0,"-",LOOKUP(Y39,Лист3!$D$2:$E$102))</f>
        <v>-</v>
      </c>
    </row>
    <row r="40" spans="1:26" ht="15.75">
      <c r="A40" s="36">
        <v>37</v>
      </c>
      <c r="B40" s="73" t="s">
        <v>7</v>
      </c>
      <c r="C40" s="74" t="s">
        <v>7</v>
      </c>
      <c r="D40" s="75" t="s">
        <v>7</v>
      </c>
      <c r="E40" s="75" t="s">
        <v>7</v>
      </c>
      <c r="F40" s="75" t="s">
        <v>7</v>
      </c>
      <c r="G40" s="75" t="s">
        <v>7</v>
      </c>
      <c r="H40" s="75" t="s">
        <v>7</v>
      </c>
      <c r="I40" s="75" t="s">
        <v>7</v>
      </c>
      <c r="J40" s="75" t="s">
        <v>7</v>
      </c>
      <c r="K40" s="75" t="s">
        <v>7</v>
      </c>
      <c r="L40" s="75" t="s">
        <v>7</v>
      </c>
      <c r="M40" s="75" t="s">
        <v>7</v>
      </c>
      <c r="N40" s="75" t="s">
        <v>7</v>
      </c>
      <c r="O40" s="75" t="s">
        <v>7</v>
      </c>
      <c r="P40" s="76" t="s">
        <v>7</v>
      </c>
      <c r="Q40" s="74" t="s">
        <v>7</v>
      </c>
      <c r="R40" s="75" t="s">
        <v>7</v>
      </c>
      <c r="S40" s="75" t="s">
        <v>7</v>
      </c>
      <c r="T40" s="75" t="s">
        <v>7</v>
      </c>
      <c r="U40" s="75" t="s">
        <v>7</v>
      </c>
      <c r="V40" s="75" t="s">
        <v>7</v>
      </c>
      <c r="W40" s="77" t="s">
        <v>7</v>
      </c>
      <c r="X40" s="65" t="str">
        <f t="shared" si="0"/>
        <v>-</v>
      </c>
      <c r="Y40" s="63" t="str">
        <f>IF(SUM(D40:W40)=0,"-",LOOKUP(X40,Лист3!$A$2:$B$35))</f>
        <v>-</v>
      </c>
      <c r="Z40" s="64" t="str">
        <f>IF(SUM(C40:W40)=0,"-",LOOKUP(Y40,Лист3!$D$2:$E$102))</f>
        <v>-</v>
      </c>
    </row>
    <row r="41" spans="1:26" ht="15.75">
      <c r="A41" s="36">
        <v>38</v>
      </c>
      <c r="B41" s="73" t="s">
        <v>7</v>
      </c>
      <c r="C41" s="74" t="s">
        <v>7</v>
      </c>
      <c r="D41" s="75" t="s">
        <v>7</v>
      </c>
      <c r="E41" s="75" t="s">
        <v>7</v>
      </c>
      <c r="F41" s="75" t="s">
        <v>7</v>
      </c>
      <c r="G41" s="75" t="s">
        <v>7</v>
      </c>
      <c r="H41" s="75" t="s">
        <v>7</v>
      </c>
      <c r="I41" s="75" t="s">
        <v>7</v>
      </c>
      <c r="J41" s="75" t="s">
        <v>7</v>
      </c>
      <c r="K41" s="75" t="s">
        <v>7</v>
      </c>
      <c r="L41" s="75" t="s">
        <v>7</v>
      </c>
      <c r="M41" s="75" t="s">
        <v>7</v>
      </c>
      <c r="N41" s="75" t="s">
        <v>7</v>
      </c>
      <c r="O41" s="75" t="s">
        <v>7</v>
      </c>
      <c r="P41" s="76" t="s">
        <v>7</v>
      </c>
      <c r="Q41" s="74" t="s">
        <v>7</v>
      </c>
      <c r="R41" s="75" t="s">
        <v>7</v>
      </c>
      <c r="S41" s="75" t="s">
        <v>7</v>
      </c>
      <c r="T41" s="75" t="s">
        <v>7</v>
      </c>
      <c r="U41" s="75" t="s">
        <v>7</v>
      </c>
      <c r="V41" s="75" t="s">
        <v>7</v>
      </c>
      <c r="W41" s="77" t="s">
        <v>7</v>
      </c>
      <c r="X41" s="65" t="str">
        <f t="shared" si="0"/>
        <v>-</v>
      </c>
      <c r="Y41" s="63" t="str">
        <f>IF(SUM(D41:W41)=0,"-",LOOKUP(X41,Лист3!$A$2:$B$35))</f>
        <v>-</v>
      </c>
      <c r="Z41" s="64" t="str">
        <f>IF(SUM(C41:W41)=0,"-",LOOKUP(Y41,Лист3!$D$2:$E$102))</f>
        <v>-</v>
      </c>
    </row>
    <row r="42" spans="1:26" ht="15.75">
      <c r="A42" s="36">
        <v>39</v>
      </c>
      <c r="B42" s="73" t="s">
        <v>7</v>
      </c>
      <c r="C42" s="74" t="s">
        <v>7</v>
      </c>
      <c r="D42" s="75" t="s">
        <v>7</v>
      </c>
      <c r="E42" s="75" t="s">
        <v>7</v>
      </c>
      <c r="F42" s="75" t="s">
        <v>7</v>
      </c>
      <c r="G42" s="75" t="s">
        <v>7</v>
      </c>
      <c r="H42" s="75" t="s">
        <v>7</v>
      </c>
      <c r="I42" s="75" t="s">
        <v>7</v>
      </c>
      <c r="J42" s="75" t="s">
        <v>7</v>
      </c>
      <c r="K42" s="75" t="s">
        <v>7</v>
      </c>
      <c r="L42" s="75" t="s">
        <v>7</v>
      </c>
      <c r="M42" s="75" t="s">
        <v>7</v>
      </c>
      <c r="N42" s="75" t="s">
        <v>7</v>
      </c>
      <c r="O42" s="75" t="s">
        <v>7</v>
      </c>
      <c r="P42" s="76" t="s">
        <v>7</v>
      </c>
      <c r="Q42" s="74" t="s">
        <v>7</v>
      </c>
      <c r="R42" s="75" t="s">
        <v>7</v>
      </c>
      <c r="S42" s="75" t="s">
        <v>7</v>
      </c>
      <c r="T42" s="75" t="s">
        <v>7</v>
      </c>
      <c r="U42" s="75" t="s">
        <v>7</v>
      </c>
      <c r="V42" s="75" t="s">
        <v>7</v>
      </c>
      <c r="W42" s="77" t="s">
        <v>7</v>
      </c>
      <c r="X42" s="65" t="str">
        <f t="shared" si="0"/>
        <v>-</v>
      </c>
      <c r="Y42" s="63" t="str">
        <f>IF(SUM(D42:W42)=0,"-",LOOKUP(X42,Лист3!$A$2:$B$35))</f>
        <v>-</v>
      </c>
      <c r="Z42" s="64" t="str">
        <f>IF(SUM(C42:W42)=0,"-",LOOKUP(Y42,Лист3!$D$2:$E$102))</f>
        <v>-</v>
      </c>
    </row>
    <row r="43" spans="1:26" ht="16.5" thickBot="1">
      <c r="A43" s="37">
        <v>40</v>
      </c>
      <c r="B43" s="78"/>
      <c r="C43" s="79" t="s">
        <v>7</v>
      </c>
      <c r="D43" s="80" t="s">
        <v>7</v>
      </c>
      <c r="E43" s="80" t="s">
        <v>7</v>
      </c>
      <c r="F43" s="80" t="s">
        <v>7</v>
      </c>
      <c r="G43" s="80" t="s">
        <v>7</v>
      </c>
      <c r="H43" s="80" t="s">
        <v>7</v>
      </c>
      <c r="I43" s="80" t="s">
        <v>7</v>
      </c>
      <c r="J43" s="80" t="s">
        <v>7</v>
      </c>
      <c r="K43" s="80" t="s">
        <v>7</v>
      </c>
      <c r="L43" s="80" t="s">
        <v>7</v>
      </c>
      <c r="M43" s="80" t="s">
        <v>7</v>
      </c>
      <c r="N43" s="80" t="s">
        <v>7</v>
      </c>
      <c r="O43" s="80" t="s">
        <v>7</v>
      </c>
      <c r="P43" s="81" t="s">
        <v>7</v>
      </c>
      <c r="Q43" s="79" t="s">
        <v>7</v>
      </c>
      <c r="R43" s="80" t="s">
        <v>7</v>
      </c>
      <c r="S43" s="80" t="s">
        <v>7</v>
      </c>
      <c r="T43" s="80" t="s">
        <v>7</v>
      </c>
      <c r="U43" s="80" t="s">
        <v>7</v>
      </c>
      <c r="V43" s="80" t="s">
        <v>7</v>
      </c>
      <c r="W43" s="82" t="s">
        <v>7</v>
      </c>
      <c r="X43" s="66" t="str">
        <f t="shared" si="0"/>
        <v>-</v>
      </c>
      <c r="Y43" s="63" t="str">
        <f>IF(SUM(D43:W43)=0,"-",LOOKUP(X43,Лист3!$A$2:$B$35))</f>
        <v>-</v>
      </c>
      <c r="Z43" s="64" t="str">
        <f>IF(SUM(C43:W43)=0,"-",LOOKUP(Y43,Лист3!$D$2:$E$102))</f>
        <v>-</v>
      </c>
    </row>
    <row r="44" spans="1:26" ht="15.75">
      <c r="A44" s="29"/>
      <c r="B44" s="34">
        <f>40-COUNTBLANK(B4:B43)</f>
        <v>0</v>
      </c>
      <c r="C44" s="33"/>
      <c r="D44" s="33"/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</row>
    <row r="45" spans="1:26" ht="15.75">
      <c r="A45" s="29"/>
      <c r="B45" s="2" t="s">
        <v>20</v>
      </c>
      <c r="C45" s="30">
        <f t="shared" ref="C45:P45" si="1">40-COUNTBLANK($B$4:$B$43)-C50-C46</f>
        <v>0</v>
      </c>
      <c r="D45" s="30">
        <f t="shared" si="1"/>
        <v>0</v>
      </c>
      <c r="E45" s="30">
        <f t="shared" si="1"/>
        <v>0</v>
      </c>
      <c r="F45" s="30">
        <f t="shared" si="1"/>
        <v>0</v>
      </c>
      <c r="G45" s="30">
        <f t="shared" si="1"/>
        <v>0</v>
      </c>
      <c r="H45" s="30">
        <f t="shared" si="1"/>
        <v>0</v>
      </c>
      <c r="I45" s="30">
        <f t="shared" si="1"/>
        <v>0</v>
      </c>
      <c r="J45" s="30">
        <f t="shared" si="1"/>
        <v>0</v>
      </c>
      <c r="K45" s="30">
        <f t="shared" si="1"/>
        <v>0</v>
      </c>
      <c r="L45" s="30">
        <f t="shared" si="1"/>
        <v>0</v>
      </c>
      <c r="M45" s="30">
        <f t="shared" si="1"/>
        <v>0</v>
      </c>
      <c r="N45" s="30">
        <f t="shared" si="1"/>
        <v>0</v>
      </c>
      <c r="O45" s="30">
        <f t="shared" si="1"/>
        <v>0</v>
      </c>
      <c r="P45" s="30">
        <f t="shared" si="1"/>
        <v>0</v>
      </c>
      <c r="Q45" s="31">
        <f t="shared" ref="Q45:V45" si="2">COUNTIFS(Q4:Q43,"&lt;1")</f>
        <v>0</v>
      </c>
      <c r="R45" s="31">
        <f t="shared" si="2"/>
        <v>0</v>
      </c>
      <c r="S45" s="31">
        <f t="shared" si="2"/>
        <v>0</v>
      </c>
      <c r="T45" s="31">
        <f t="shared" si="2"/>
        <v>0</v>
      </c>
      <c r="U45" s="31">
        <f t="shared" si="2"/>
        <v>0</v>
      </c>
      <c r="V45" s="31">
        <f t="shared" si="2"/>
        <v>0</v>
      </c>
      <c r="W45" s="31">
        <f>COUNTIFS(W4:W43,"&lt;1")</f>
        <v>0</v>
      </c>
    </row>
    <row r="46" spans="1:26" ht="15.75">
      <c r="A46" s="27">
        <v>1</v>
      </c>
      <c r="B46" s="2" t="s">
        <v>19</v>
      </c>
      <c r="C46" s="30">
        <f>SUM(C4:C43)</f>
        <v>0</v>
      </c>
      <c r="D46" s="30">
        <f t="shared" ref="D46:P46" si="3">SUM(D4:D43)</f>
        <v>0</v>
      </c>
      <c r="E46" s="30">
        <f t="shared" si="3"/>
        <v>0</v>
      </c>
      <c r="F46" s="30">
        <f t="shared" si="3"/>
        <v>0</v>
      </c>
      <c r="G46" s="30">
        <f t="shared" si="3"/>
        <v>0</v>
      </c>
      <c r="H46" s="30">
        <f t="shared" si="3"/>
        <v>0</v>
      </c>
      <c r="I46" s="30">
        <f t="shared" si="3"/>
        <v>0</v>
      </c>
      <c r="J46" s="30">
        <f t="shared" si="3"/>
        <v>0</v>
      </c>
      <c r="K46" s="30">
        <f t="shared" si="3"/>
        <v>0</v>
      </c>
      <c r="L46" s="30">
        <f t="shared" si="3"/>
        <v>0</v>
      </c>
      <c r="M46" s="30">
        <f t="shared" si="3"/>
        <v>0</v>
      </c>
      <c r="N46" s="30">
        <f t="shared" si="3"/>
        <v>0</v>
      </c>
      <c r="O46" s="30">
        <f t="shared" si="3"/>
        <v>0</v>
      </c>
      <c r="P46" s="30">
        <f t="shared" si="3"/>
        <v>0</v>
      </c>
      <c r="Q46" s="31">
        <f>COUNTIFS(Q3:Q42,"&lt;2",Q3:Q42,"&gt;0")</f>
        <v>0</v>
      </c>
      <c r="R46" s="31">
        <f t="shared" ref="R46:W46" si="4">COUNTIFS(R3:R42,"&lt;2",R3:R42,"&gt;0")</f>
        <v>0</v>
      </c>
      <c r="S46" s="31">
        <f t="shared" si="4"/>
        <v>0</v>
      </c>
      <c r="T46" s="31">
        <f t="shared" si="4"/>
        <v>0</v>
      </c>
      <c r="U46" s="31">
        <f t="shared" si="4"/>
        <v>0</v>
      </c>
      <c r="V46" s="31">
        <f t="shared" si="4"/>
        <v>0</v>
      </c>
      <c r="W46" s="31">
        <f t="shared" si="4"/>
        <v>0</v>
      </c>
    </row>
    <row r="47" spans="1:26" ht="15.75">
      <c r="A47" s="28">
        <v>2</v>
      </c>
      <c r="B47" s="2" t="s">
        <v>18</v>
      </c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1">
        <f>COUNTIFS(Q4:Q43,"&lt;3",Q4:Q43,"&gt;1")</f>
        <v>0</v>
      </c>
      <c r="R47" s="31">
        <f t="shared" ref="R47:W47" si="5">COUNTIFS(R4:R43,"&lt;3",R4:R43,"&gt;1")</f>
        <v>0</v>
      </c>
      <c r="S47" s="31">
        <f t="shared" si="5"/>
        <v>0</v>
      </c>
      <c r="T47" s="31">
        <f t="shared" si="5"/>
        <v>0</v>
      </c>
      <c r="U47" s="31">
        <f t="shared" si="5"/>
        <v>0</v>
      </c>
      <c r="V47" s="31">
        <f t="shared" si="5"/>
        <v>0</v>
      </c>
      <c r="W47" s="31">
        <f t="shared" si="5"/>
        <v>0</v>
      </c>
    </row>
    <row r="48" spans="1:26" ht="15.75">
      <c r="A48" s="28">
        <v>3</v>
      </c>
      <c r="B48" s="2" t="s">
        <v>17</v>
      </c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1">
        <f t="shared" ref="S48:W48" si="6">COUNTIFS(S4:S43,"&lt;4",S4:S43,"&gt;2")</f>
        <v>0</v>
      </c>
      <c r="T48" s="31">
        <f t="shared" si="6"/>
        <v>0</v>
      </c>
      <c r="U48" s="31">
        <f t="shared" si="6"/>
        <v>0</v>
      </c>
      <c r="V48" s="31">
        <f t="shared" si="6"/>
        <v>0</v>
      </c>
      <c r="W48" s="31">
        <f t="shared" si="6"/>
        <v>0</v>
      </c>
    </row>
    <row r="49" spans="1:23" ht="15.75">
      <c r="A49" s="28">
        <v>4</v>
      </c>
      <c r="B49" s="2" t="s">
        <v>15</v>
      </c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1">
        <f t="shared" ref="V49:W49" si="7">COUNTIFS(V4:V43,"&lt;5",V4:V43,"&gt;3")</f>
        <v>0</v>
      </c>
      <c r="W49" s="31">
        <f t="shared" si="7"/>
        <v>0</v>
      </c>
    </row>
    <row r="50" spans="1:23" ht="15.75">
      <c r="A50" s="1"/>
      <c r="B50" s="2" t="s">
        <v>13</v>
      </c>
      <c r="C50" s="31">
        <f t="shared" ref="C50:W50" si="8">COUNTBLANK(C4:C43)-COUNTBLANK($B$4:$B$43)</f>
        <v>0</v>
      </c>
      <c r="D50" s="31">
        <f t="shared" si="8"/>
        <v>0</v>
      </c>
      <c r="E50" s="31">
        <f t="shared" si="8"/>
        <v>0</v>
      </c>
      <c r="F50" s="31">
        <f t="shared" si="8"/>
        <v>0</v>
      </c>
      <c r="G50" s="31">
        <f t="shared" si="8"/>
        <v>0</v>
      </c>
      <c r="H50" s="31">
        <f t="shared" si="8"/>
        <v>0</v>
      </c>
      <c r="I50" s="31">
        <f t="shared" si="8"/>
        <v>0</v>
      </c>
      <c r="J50" s="31">
        <f t="shared" si="8"/>
        <v>0</v>
      </c>
      <c r="K50" s="31">
        <f t="shared" si="8"/>
        <v>0</v>
      </c>
      <c r="L50" s="31">
        <f t="shared" si="8"/>
        <v>0</v>
      </c>
      <c r="M50" s="31">
        <f t="shared" si="8"/>
        <v>0</v>
      </c>
      <c r="N50" s="31">
        <f t="shared" si="8"/>
        <v>0</v>
      </c>
      <c r="O50" s="31">
        <f t="shared" si="8"/>
        <v>0</v>
      </c>
      <c r="P50" s="31">
        <f t="shared" si="8"/>
        <v>0</v>
      </c>
      <c r="Q50" s="31">
        <f t="shared" si="8"/>
        <v>0</v>
      </c>
      <c r="R50" s="31">
        <f t="shared" si="8"/>
        <v>0</v>
      </c>
      <c r="S50" s="31">
        <f t="shared" si="8"/>
        <v>0</v>
      </c>
      <c r="T50" s="31">
        <f t="shared" si="8"/>
        <v>0</v>
      </c>
      <c r="U50" s="31">
        <f t="shared" si="8"/>
        <v>0</v>
      </c>
      <c r="V50" s="31">
        <f t="shared" si="8"/>
        <v>0</v>
      </c>
      <c r="W50" s="31">
        <f t="shared" si="8"/>
        <v>0</v>
      </c>
    </row>
  </sheetData>
  <sheetProtection password="DE97" sheet="1" objects="1" scenarios="1" selectLockedCells="1"/>
  <mergeCells count="9">
    <mergeCell ref="X2:X3"/>
    <mergeCell ref="Z2:Z3"/>
    <mergeCell ref="W1:Z1"/>
    <mergeCell ref="A2:A3"/>
    <mergeCell ref="N1:Q1"/>
    <mergeCell ref="B2:B3"/>
    <mergeCell ref="C2:P2"/>
    <mergeCell ref="Q2:W2"/>
    <mergeCell ref="Y2:Y3"/>
  </mergeCells>
  <conditionalFormatting sqref="A4:A43">
    <cfRule type="expression" dxfId="1" priority="3" stopIfTrue="1">
      <formula>$C4&lt;&gt;""</formula>
    </cfRule>
  </conditionalFormatting>
  <conditionalFormatting sqref="C4:W43 C45:W50">
    <cfRule type="expression" dxfId="0" priority="4" stopIfTrue="1">
      <formula>$A$2=1</formula>
    </cfRule>
  </conditionalFormatting>
  <pageMargins left="0.23622047244094491" right="0.23622047244094491" top="0.74803149606299213" bottom="0.74803149606299213" header="0.31496062992125984" footer="0.31496062992125984"/>
  <pageSetup paperSize="9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O148"/>
  <sheetViews>
    <sheetView workbookViewId="0">
      <selection activeCell="L7" sqref="L7"/>
    </sheetView>
  </sheetViews>
  <sheetFormatPr defaultRowHeight="15"/>
  <cols>
    <col min="1" max="1" width="15.42578125" style="56" customWidth="1"/>
    <col min="2" max="2" width="11.28515625" style="56" customWidth="1"/>
    <col min="3" max="5" width="9.85546875" style="56" customWidth="1"/>
    <col min="6" max="6" width="9.85546875" style="56" bestFit="1" customWidth="1"/>
    <col min="7" max="7" width="9.140625" style="56"/>
    <col min="8" max="8" width="15" style="56" customWidth="1"/>
    <col min="9" max="9" width="10.5703125" style="56" customWidth="1"/>
    <col min="10" max="12" width="9.140625" style="56" customWidth="1"/>
    <col min="13" max="13" width="9.85546875" style="56" customWidth="1"/>
    <col min="14" max="14" width="10.7109375" style="56" customWidth="1"/>
    <col min="15" max="16384" width="9.140625" style="56"/>
  </cols>
  <sheetData>
    <row r="1" spans="1:15" ht="28.5" customHeight="1">
      <c r="A1" s="108" t="s">
        <v>21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55"/>
      <c r="O1" s="55"/>
    </row>
    <row r="2" spans="1:15" ht="15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5"/>
      <c r="O2" s="55"/>
    </row>
    <row r="3" spans="1:15" ht="15" customHeight="1">
      <c r="A3" s="53" t="s">
        <v>22</v>
      </c>
      <c r="B3" s="109">
        <f>Ведомость!N1</f>
        <v>0</v>
      </c>
      <c r="C3" s="110"/>
      <c r="D3" s="14"/>
      <c r="E3" s="111" t="s">
        <v>23</v>
      </c>
      <c r="F3" s="111"/>
      <c r="G3" s="109">
        <f>Ведомость!W1</f>
        <v>0</v>
      </c>
      <c r="H3" s="112"/>
      <c r="I3" s="112"/>
      <c r="J3" s="112"/>
      <c r="K3" s="112"/>
      <c r="L3" s="112"/>
      <c r="M3" s="110"/>
      <c r="N3" s="15"/>
      <c r="O3" s="55"/>
    </row>
    <row r="4" spans="1:15" ht="15" customHeight="1">
      <c r="A4" s="53"/>
      <c r="B4" s="16"/>
      <c r="C4" s="16"/>
      <c r="D4" s="14"/>
      <c r="E4" s="54"/>
      <c r="F4" s="54"/>
      <c r="G4" s="16"/>
      <c r="H4" s="16"/>
      <c r="I4" s="16"/>
      <c r="J4" s="16"/>
      <c r="K4" s="16"/>
      <c r="L4" s="16"/>
      <c r="M4" s="16"/>
      <c r="N4" s="15"/>
      <c r="O4" s="55"/>
    </row>
    <row r="6" spans="1:15" ht="15.75" customHeight="1">
      <c r="A6" s="117" t="s">
        <v>0</v>
      </c>
      <c r="B6" s="118"/>
      <c r="C6" s="118"/>
      <c r="D6" s="118"/>
      <c r="E6" s="118"/>
      <c r="F6" s="119"/>
      <c r="H6" s="49"/>
      <c r="I6" s="49"/>
      <c r="J6" s="49"/>
      <c r="K6" s="49"/>
      <c r="L6" s="49"/>
      <c r="M6" s="49"/>
    </row>
    <row r="7" spans="1:15" ht="31.5">
      <c r="A7" s="8"/>
      <c r="B7" s="10" t="s">
        <v>1</v>
      </c>
      <c r="C7" s="10" t="s">
        <v>2</v>
      </c>
      <c r="D7" s="10" t="s">
        <v>3</v>
      </c>
      <c r="E7" s="10" t="s">
        <v>4</v>
      </c>
      <c r="F7" s="11" t="s">
        <v>5</v>
      </c>
      <c r="H7" s="45"/>
      <c r="I7" s="46"/>
      <c r="J7" s="46"/>
      <c r="K7" s="46"/>
      <c r="L7" s="46"/>
      <c r="M7" s="47"/>
    </row>
    <row r="8" spans="1:15" ht="15.75">
      <c r="A8" s="9" t="s">
        <v>6</v>
      </c>
      <c r="B8" s="5">
        <f>IF($A$11=0,0,B9/$A$11)</f>
        <v>0</v>
      </c>
      <c r="C8" s="5">
        <f>IF($A$11=0,0,C9/$A$11)</f>
        <v>0</v>
      </c>
      <c r="D8" s="5">
        <f>IF($A$11=0,0,D9/$A$11)</f>
        <v>0</v>
      </c>
      <c r="E8" s="5">
        <f>IF($A$11=0,0,E9/$A$11)</f>
        <v>0</v>
      </c>
      <c r="F8" s="5">
        <f>IF($A$11=0,0,F9/$A$11)</f>
        <v>0</v>
      </c>
      <c r="H8" s="124" t="s">
        <v>30</v>
      </c>
      <c r="I8" s="124"/>
      <c r="J8" s="122" t="e">
        <f>SUM(B9:C9)/Ведомость!$B$44</f>
        <v>#DIV/0!</v>
      </c>
      <c r="K8" s="123"/>
      <c r="L8" s="48"/>
      <c r="M8" s="48"/>
    </row>
    <row r="9" spans="1:15" ht="15.75">
      <c r="A9" s="9" t="s">
        <v>8</v>
      </c>
      <c r="B9" s="7">
        <f>COUNTIFS(Ведомость!$Z$4:$Z$43,"=5")</f>
        <v>0</v>
      </c>
      <c r="C9" s="7">
        <f>COUNTIFS(Ведомость!$Z$4:$Z$43,"=4")</f>
        <v>0</v>
      </c>
      <c r="D9" s="7">
        <f>COUNTIFS(Ведомость!$Z$4:$Z$43,"=3")</f>
        <v>0</v>
      </c>
      <c r="E9" s="7">
        <f>COUNTIFS(Ведомость!$Z$4:$Z$43,"=2")</f>
        <v>0</v>
      </c>
      <c r="F9" s="7">
        <f>COUNTIFS(Ведомость!$Z$4:$Z$43,"-")-COUNTBLANK(Ведомость!B4:B43)</f>
        <v>0</v>
      </c>
      <c r="H9" s="124" t="s">
        <v>31</v>
      </c>
      <c r="I9" s="124"/>
      <c r="J9" s="122" t="e">
        <f>SUM(B9:D9)/Ведомость!$B$44</f>
        <v>#DIV/0!</v>
      </c>
      <c r="K9" s="123"/>
      <c r="L9" s="44"/>
      <c r="M9" s="44"/>
    </row>
    <row r="10" spans="1:15">
      <c r="H10" s="57"/>
      <c r="I10" s="57"/>
      <c r="J10" s="57"/>
      <c r="K10" s="57"/>
      <c r="L10" s="57"/>
      <c r="M10" s="57"/>
    </row>
    <row r="11" spans="1:15" ht="18.75">
      <c r="A11" s="56">
        <f>SUM(B9:F9)</f>
        <v>0</v>
      </c>
      <c r="H11" s="125" t="s">
        <v>38</v>
      </c>
      <c r="I11" s="126"/>
      <c r="J11" s="113" t="e">
        <f>SUMIF(Ведомость!Y4:Y43,"&lt;&gt;-")/Ведомость!$B$44</f>
        <v>#DIV/0!</v>
      </c>
      <c r="K11" s="114"/>
    </row>
    <row r="12" spans="1:15" ht="18.75">
      <c r="H12" s="125" t="s">
        <v>40</v>
      </c>
      <c r="I12" s="126"/>
      <c r="J12" s="115">
        <f>MIN(Ведомость!Y4:Y43)</f>
        <v>0</v>
      </c>
      <c r="K12" s="116"/>
    </row>
    <row r="13" spans="1:15" ht="18.75">
      <c r="H13" s="125" t="s">
        <v>39</v>
      </c>
      <c r="I13" s="126"/>
      <c r="J13" s="115">
        <f>MAX(Ведомость!Y4:Y43)</f>
        <v>0</v>
      </c>
      <c r="K13" s="116"/>
    </row>
    <row r="28" spans="1:11" ht="15.75">
      <c r="H28" s="58"/>
      <c r="I28" s="58"/>
      <c r="J28" s="59"/>
      <c r="K28" s="59"/>
    </row>
    <row r="29" spans="1:11" ht="15.75">
      <c r="H29" s="58"/>
      <c r="I29" s="58"/>
      <c r="J29" s="59"/>
      <c r="K29" s="59"/>
    </row>
    <row r="32" spans="1:11" ht="15" customHeight="1">
      <c r="A32" s="103" t="s">
        <v>9</v>
      </c>
      <c r="B32" s="105" t="s">
        <v>10</v>
      </c>
      <c r="C32" s="106"/>
      <c r="D32" s="106"/>
      <c r="E32" s="106"/>
      <c r="F32" s="106"/>
      <c r="G32" s="106"/>
      <c r="H32" s="106"/>
      <c r="I32" s="106"/>
      <c r="J32" s="106"/>
      <c r="K32" s="107"/>
    </row>
    <row r="33" spans="1:11" ht="15.75">
      <c r="A33" s="104"/>
      <c r="B33" s="10">
        <v>1</v>
      </c>
      <c r="C33" s="10">
        <v>2</v>
      </c>
      <c r="D33" s="10">
        <v>3</v>
      </c>
      <c r="E33" s="10">
        <v>4</v>
      </c>
      <c r="F33" s="10">
        <v>5</v>
      </c>
      <c r="G33" s="10">
        <v>6</v>
      </c>
      <c r="H33" s="10">
        <v>7</v>
      </c>
      <c r="I33" s="10">
        <v>8</v>
      </c>
      <c r="J33" s="10">
        <v>9</v>
      </c>
      <c r="K33" s="10">
        <v>10</v>
      </c>
    </row>
    <row r="34" spans="1:11" ht="15.75">
      <c r="A34" s="12" t="s">
        <v>11</v>
      </c>
      <c r="B34" s="6" t="e">
        <f>(Ведомость!C46)/(Ведомость!$B$44)</f>
        <v>#DIV/0!</v>
      </c>
      <c r="C34" s="6" t="e">
        <f>(Ведомость!D46)/(Ведомость!$B$44)</f>
        <v>#DIV/0!</v>
      </c>
      <c r="D34" s="6" t="e">
        <f>(Ведомость!E46)/(Ведомость!$B$44)</f>
        <v>#DIV/0!</v>
      </c>
      <c r="E34" s="6" t="e">
        <f>(Ведомость!F46)/(Ведомость!$B$44)</f>
        <v>#DIV/0!</v>
      </c>
      <c r="F34" s="6" t="e">
        <f>(Ведомость!G46)/(Ведомость!$B$44)</f>
        <v>#DIV/0!</v>
      </c>
      <c r="G34" s="6" t="e">
        <f>(Ведомость!H46)/(Ведомость!$B$44)</f>
        <v>#DIV/0!</v>
      </c>
      <c r="H34" s="6" t="e">
        <f>(Ведомость!I46)/(Ведомость!$B$44)</f>
        <v>#DIV/0!</v>
      </c>
      <c r="I34" s="6" t="e">
        <f>(Ведомость!J46)/(Ведомость!$B$44)</f>
        <v>#DIV/0!</v>
      </c>
      <c r="J34" s="6" t="e">
        <f>(Ведомость!K46)/(Ведомость!$B$44)</f>
        <v>#DIV/0!</v>
      </c>
      <c r="K34" s="6" t="e">
        <f>(Ведомость!L46)/(Ведомость!$B$44)</f>
        <v>#DIV/0!</v>
      </c>
    </row>
    <row r="35" spans="1:11" ht="15.75">
      <c r="A35" s="12" t="s">
        <v>12</v>
      </c>
      <c r="B35" s="6" t="e">
        <f>(Ведомость!C45)/(Ведомость!$B$44)</f>
        <v>#DIV/0!</v>
      </c>
      <c r="C35" s="6" t="e">
        <f>(Ведомость!D45)/(Ведомость!$B$44)</f>
        <v>#DIV/0!</v>
      </c>
      <c r="D35" s="6" t="e">
        <f>(Ведомость!E45)/(Ведомость!$B$44)</f>
        <v>#DIV/0!</v>
      </c>
      <c r="E35" s="6" t="e">
        <f>(Ведомость!F45)/(Ведомость!$B$44)</f>
        <v>#DIV/0!</v>
      </c>
      <c r="F35" s="6" t="e">
        <f>(Ведомость!G45)/(Ведомость!$B$44)</f>
        <v>#DIV/0!</v>
      </c>
      <c r="G35" s="6" t="e">
        <f>(Ведомость!H45)/(Ведомость!$B$44)</f>
        <v>#DIV/0!</v>
      </c>
      <c r="H35" s="6" t="e">
        <f>(Ведомость!I45)/(Ведомость!$B$44)</f>
        <v>#DIV/0!</v>
      </c>
      <c r="I35" s="6" t="e">
        <f>(Ведомость!J45)/(Ведомость!$B$44)</f>
        <v>#DIV/0!</v>
      </c>
      <c r="J35" s="6" t="e">
        <f>(Ведомость!K45)/(Ведомость!$B$44)</f>
        <v>#DIV/0!</v>
      </c>
      <c r="K35" s="6" t="e">
        <f>(Ведомость!L45)/(Ведомость!$B$44)</f>
        <v>#DIV/0!</v>
      </c>
    </row>
    <row r="36" spans="1:11" ht="15.75">
      <c r="A36" s="13" t="s">
        <v>13</v>
      </c>
      <c r="B36" s="6" t="e">
        <f>(Ведомость!C50)/(Ведомость!$B$44)</f>
        <v>#DIV/0!</v>
      </c>
      <c r="C36" s="6" t="e">
        <f>(Ведомость!D50)/(Ведомость!$B$44)</f>
        <v>#DIV/0!</v>
      </c>
      <c r="D36" s="6" t="e">
        <f>(Ведомость!E50)/(Ведомость!$B$44)</f>
        <v>#DIV/0!</v>
      </c>
      <c r="E36" s="6" t="e">
        <f>(Ведомость!F50)/(Ведомость!$B$44)</f>
        <v>#DIV/0!</v>
      </c>
      <c r="F36" s="6" t="e">
        <f>(Ведомость!G50)/(Ведомость!$B$44)</f>
        <v>#DIV/0!</v>
      </c>
      <c r="G36" s="6" t="e">
        <f>(Ведомость!H50)/(Ведомость!$B$44)</f>
        <v>#DIV/0!</v>
      </c>
      <c r="H36" s="6" t="e">
        <f>(Ведомость!I50)/(Ведомость!$B$44)</f>
        <v>#DIV/0!</v>
      </c>
      <c r="I36" s="6" t="e">
        <f>(Ведомость!J50)/(Ведомость!$B$44)</f>
        <v>#DIV/0!</v>
      </c>
      <c r="J36" s="6" t="e">
        <f>(Ведомость!K50)/(Ведомость!$B$44)</f>
        <v>#DIV/0!</v>
      </c>
      <c r="K36" s="6" t="e">
        <f>(Ведомость!L50)/(Ведомость!$B$44)</f>
        <v>#DIV/0!</v>
      </c>
    </row>
    <row r="37" spans="1:11" ht="15" customHeight="1">
      <c r="A37" s="120"/>
      <c r="B37" s="105" t="s">
        <v>10</v>
      </c>
      <c r="C37" s="106"/>
      <c r="D37" s="106"/>
      <c r="E37" s="106"/>
    </row>
    <row r="38" spans="1:11" ht="15.75">
      <c r="A38" s="121"/>
      <c r="B38" s="10">
        <v>11</v>
      </c>
      <c r="C38" s="10">
        <v>12</v>
      </c>
      <c r="D38" s="10">
        <v>13</v>
      </c>
      <c r="E38" s="10">
        <v>14</v>
      </c>
    </row>
    <row r="39" spans="1:11" ht="15.75">
      <c r="A39" s="12" t="s">
        <v>11</v>
      </c>
      <c r="B39" s="6" t="e">
        <f>(Ведомость!M46)/(Ведомость!$B$44)</f>
        <v>#DIV/0!</v>
      </c>
      <c r="C39" s="6" t="e">
        <f>(Ведомость!N46)/(Ведомость!$B$44)</f>
        <v>#DIV/0!</v>
      </c>
      <c r="D39" s="6" t="e">
        <f>(Ведомость!O46)/(Ведомость!$B$44)</f>
        <v>#DIV/0!</v>
      </c>
      <c r="E39" s="6" t="e">
        <f>(Ведомость!P46)/(Ведомость!$B$44)</f>
        <v>#DIV/0!</v>
      </c>
    </row>
    <row r="40" spans="1:11" ht="15.75">
      <c r="A40" s="12" t="s">
        <v>12</v>
      </c>
      <c r="B40" s="6" t="e">
        <f>(Ведомость!M45)/(Ведомость!$B$44)</f>
        <v>#DIV/0!</v>
      </c>
      <c r="C40" s="6" t="e">
        <f>(Ведомость!N45)/(Ведомость!$B$44)</f>
        <v>#DIV/0!</v>
      </c>
      <c r="D40" s="6" t="e">
        <f>(Ведомость!O45)/(Ведомость!$B$44)</f>
        <v>#DIV/0!</v>
      </c>
      <c r="E40" s="6" t="e">
        <f>(Ведомость!P45)/(Ведомость!$B$44)</f>
        <v>#DIV/0!</v>
      </c>
    </row>
    <row r="41" spans="1:11" ht="15.75">
      <c r="A41" s="12" t="s">
        <v>13</v>
      </c>
      <c r="B41" s="6" t="e">
        <f>(Ведомость!M50)/(Ведомость!$B$44)</f>
        <v>#DIV/0!</v>
      </c>
      <c r="C41" s="6" t="e">
        <f>(Ведомость!N50)/(Ведомость!$B$44)</f>
        <v>#DIV/0!</v>
      </c>
      <c r="D41" s="6" t="e">
        <f>(Ведомость!O50)/(Ведомость!$B$44)</f>
        <v>#DIV/0!</v>
      </c>
      <c r="E41" s="6" t="e">
        <f>(Ведомость!P50)/(Ведомость!$B$44)</f>
        <v>#DIV/0!</v>
      </c>
    </row>
    <row r="67" spans="1:15" ht="15" customHeight="1">
      <c r="A67" s="103" t="s">
        <v>14</v>
      </c>
      <c r="B67" s="105" t="s">
        <v>10</v>
      </c>
      <c r="C67" s="106"/>
      <c r="D67" s="106"/>
      <c r="E67" s="106"/>
      <c r="F67" s="106"/>
      <c r="G67" s="106"/>
      <c r="H67" s="107"/>
    </row>
    <row r="68" spans="1:15" ht="15.75">
      <c r="A68" s="104"/>
      <c r="B68" s="10">
        <v>15</v>
      </c>
      <c r="C68" s="10">
        <v>16</v>
      </c>
      <c r="D68" s="10">
        <v>17</v>
      </c>
      <c r="E68" s="10">
        <v>18</v>
      </c>
      <c r="F68" s="10">
        <v>19</v>
      </c>
      <c r="G68" s="10">
        <v>20</v>
      </c>
      <c r="H68" s="10">
        <v>21</v>
      </c>
    </row>
    <row r="69" spans="1:15" ht="18" customHeight="1">
      <c r="A69" s="12" t="s">
        <v>15</v>
      </c>
      <c r="B69" s="4" t="s">
        <v>16</v>
      </c>
      <c r="C69" s="4" t="s">
        <v>16</v>
      </c>
      <c r="D69" s="4" t="s">
        <v>16</v>
      </c>
      <c r="E69" s="4" t="s">
        <v>16</v>
      </c>
      <c r="F69" s="4" t="s">
        <v>16</v>
      </c>
      <c r="G69" s="6" t="e">
        <f>(Ведомость!V49)/(Ведомость!$B$44)</f>
        <v>#DIV/0!</v>
      </c>
      <c r="H69" s="6" t="e">
        <f>(Ведомость!W49)/(Ведомость!$B$44)</f>
        <v>#DIV/0!</v>
      </c>
    </row>
    <row r="70" spans="1:15" ht="15.75">
      <c r="A70" s="12" t="s">
        <v>17</v>
      </c>
      <c r="B70" s="4" t="s">
        <v>16</v>
      </c>
      <c r="C70" s="4" t="s">
        <v>16</v>
      </c>
      <c r="D70" s="6" t="e">
        <f>(Ведомость!S48)/(Ведомость!$B$44)</f>
        <v>#DIV/0!</v>
      </c>
      <c r="E70" s="6" t="e">
        <f>(Ведомость!T48)/(Ведомость!$B$44)</f>
        <v>#DIV/0!</v>
      </c>
      <c r="F70" s="6" t="e">
        <f>(Ведомость!U48)/(Ведомость!$B$44)</f>
        <v>#DIV/0!</v>
      </c>
      <c r="G70" s="6" t="e">
        <f>(Ведомость!V48)/(Ведомость!$B$44)</f>
        <v>#DIV/0!</v>
      </c>
      <c r="H70" s="6" t="e">
        <f>(Ведомость!W48)/(Ведомость!$B$44)</f>
        <v>#DIV/0!</v>
      </c>
    </row>
    <row r="71" spans="1:15" ht="15.75">
      <c r="A71" s="12" t="s">
        <v>18</v>
      </c>
      <c r="B71" s="6" t="e">
        <f>(Ведомость!Q47)/(Ведомость!$B$44)</f>
        <v>#DIV/0!</v>
      </c>
      <c r="C71" s="6" t="e">
        <f>(Ведомость!R47)/(Ведомость!$B$44)</f>
        <v>#DIV/0!</v>
      </c>
      <c r="D71" s="6" t="e">
        <f>(Ведомость!S47)/(Ведомость!$B$44)</f>
        <v>#DIV/0!</v>
      </c>
      <c r="E71" s="6" t="e">
        <f>(Ведомость!T47)/(Ведомость!$B$44)</f>
        <v>#DIV/0!</v>
      </c>
      <c r="F71" s="6" t="e">
        <f>(Ведомость!U47)/(Ведомость!$B$44)</f>
        <v>#DIV/0!</v>
      </c>
      <c r="G71" s="6" t="e">
        <f>(Ведомость!V47)/(Ведомость!$B$44)</f>
        <v>#DIV/0!</v>
      </c>
      <c r="H71" s="6" t="e">
        <f>(Ведомость!W47)/(Ведомость!$B$44)</f>
        <v>#DIV/0!</v>
      </c>
    </row>
    <row r="72" spans="1:15" ht="15.75">
      <c r="A72" s="12" t="s">
        <v>19</v>
      </c>
      <c r="B72" s="6" t="e">
        <f>(Ведомость!Q46)/(Ведомость!$B$44)</f>
        <v>#DIV/0!</v>
      </c>
      <c r="C72" s="6" t="e">
        <f>(Ведомость!R46)/(Ведомость!$B$44)</f>
        <v>#DIV/0!</v>
      </c>
      <c r="D72" s="6" t="e">
        <f>(Ведомость!S46)/(Ведомость!$B$44)</f>
        <v>#DIV/0!</v>
      </c>
      <c r="E72" s="6" t="e">
        <f>(Ведомость!T46)/(Ведомость!$B$44)</f>
        <v>#DIV/0!</v>
      </c>
      <c r="F72" s="6" t="e">
        <f>(Ведомость!U46)/(Ведомость!$B$44)</f>
        <v>#DIV/0!</v>
      </c>
      <c r="G72" s="6" t="e">
        <f>(Ведомость!V46)/(Ведомость!$B$44)</f>
        <v>#DIV/0!</v>
      </c>
      <c r="H72" s="6" t="e">
        <f>(Ведомость!W46)/(Ведомость!$B$44)</f>
        <v>#DIV/0!</v>
      </c>
    </row>
    <row r="73" spans="1:15" ht="15.75">
      <c r="A73" s="12" t="s">
        <v>20</v>
      </c>
      <c r="B73" s="6" t="e">
        <f>(Ведомость!Q45)/(Ведомость!$B$44)</f>
        <v>#DIV/0!</v>
      </c>
      <c r="C73" s="6" t="e">
        <f>(Ведомость!R45)/(Ведомость!$B$44)</f>
        <v>#DIV/0!</v>
      </c>
      <c r="D73" s="6" t="e">
        <f>(Ведомость!S45)/(Ведомость!$B$44)</f>
        <v>#DIV/0!</v>
      </c>
      <c r="E73" s="6" t="e">
        <f>(Ведомость!T45)/(Ведомость!$B$44)</f>
        <v>#DIV/0!</v>
      </c>
      <c r="F73" s="6" t="e">
        <f>(Ведомость!U45)/(Ведомость!$B$44)</f>
        <v>#DIV/0!</v>
      </c>
      <c r="G73" s="6" t="e">
        <f>(Ведомость!V45)/(Ведомость!$B$44)</f>
        <v>#DIV/0!</v>
      </c>
      <c r="H73" s="6" t="e">
        <f>(Ведомость!W45)/(Ведомость!$B$44)</f>
        <v>#DIV/0!</v>
      </c>
    </row>
    <row r="74" spans="1:15" ht="15.75">
      <c r="A74" s="12" t="s">
        <v>13</v>
      </c>
      <c r="B74" s="6" t="e">
        <f>(Ведомость!Q50)/(Ведомость!$B$44)</f>
        <v>#DIV/0!</v>
      </c>
      <c r="C74" s="6" t="e">
        <f>(Ведомость!R50)/(Ведомость!$B$44)</f>
        <v>#DIV/0!</v>
      </c>
      <c r="D74" s="6" t="e">
        <f>(Ведомость!S50)/(Ведомость!$B$44)</f>
        <v>#DIV/0!</v>
      </c>
      <c r="E74" s="6" t="e">
        <f>(Ведомость!T50)/(Ведомость!$B$44)</f>
        <v>#DIV/0!</v>
      </c>
      <c r="F74" s="6" t="e">
        <f>(Ведомость!U50)/(Ведомость!$B$44)</f>
        <v>#DIV/0!</v>
      </c>
      <c r="G74" s="6" t="e">
        <f>(Ведомость!V50)/(Ведомость!$B$44)</f>
        <v>#DIV/0!</v>
      </c>
      <c r="H74" s="6" t="e">
        <f>(Ведомость!W50)/(Ведомость!$B$44)</f>
        <v>#DIV/0!</v>
      </c>
    </row>
    <row r="80" spans="1:15" ht="15.75">
      <c r="N80" s="1"/>
      <c r="O80" s="1"/>
    </row>
    <row r="81" spans="14:15" ht="15.75">
      <c r="N81" s="20"/>
      <c r="O81" s="20"/>
    </row>
    <row r="82" spans="14:15" ht="15.75">
      <c r="N82" s="21"/>
      <c r="O82" s="21"/>
    </row>
    <row r="83" spans="14:15" ht="15.75">
      <c r="N83" s="20"/>
      <c r="O83" s="20"/>
    </row>
    <row r="84" spans="14:15" ht="15.75">
      <c r="N84" s="21"/>
      <c r="O84" s="21"/>
    </row>
    <row r="85" spans="14:15" ht="15.75">
      <c r="N85" s="18"/>
      <c r="O85" s="18"/>
    </row>
    <row r="86" spans="14:15" ht="15.75">
      <c r="N86" s="19"/>
      <c r="O86" s="19"/>
    </row>
    <row r="98" spans="1:13" ht="15.75">
      <c r="A98" s="17" t="s">
        <v>35</v>
      </c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ht="15.75">
      <c r="A99" s="52" t="s">
        <v>24</v>
      </c>
      <c r="B99" s="3">
        <v>0</v>
      </c>
      <c r="C99" s="3">
        <v>1</v>
      </c>
      <c r="D99" s="3">
        <v>2</v>
      </c>
      <c r="E99" s="3">
        <v>3</v>
      </c>
      <c r="F99" s="3">
        <v>4</v>
      </c>
      <c r="G99" s="3">
        <v>5</v>
      </c>
      <c r="H99" s="3">
        <v>6</v>
      </c>
      <c r="I99" s="3">
        <v>7</v>
      </c>
      <c r="J99" s="3">
        <v>8</v>
      </c>
      <c r="K99" s="3">
        <v>9</v>
      </c>
      <c r="L99" s="3">
        <v>10</v>
      </c>
      <c r="M99" s="3">
        <v>11</v>
      </c>
    </row>
    <row r="100" spans="1:13" ht="16.5" thickBot="1">
      <c r="A100" s="22" t="s">
        <v>6</v>
      </c>
      <c r="B100" s="26" t="e">
        <f>COUNTIFS(Ведомость!$X$4:$X$43,"=0")/Ведомость!$B$44</f>
        <v>#DIV/0!</v>
      </c>
      <c r="C100" s="26" t="e">
        <f>COUNTIFS(Ведомость!$X$4:$X$43,"=1")/Ведомость!$B$44</f>
        <v>#DIV/0!</v>
      </c>
      <c r="D100" s="26" t="e">
        <f>COUNTIFS(Ведомость!$X$4:$X$43,"=2")/Ведомость!$B$44</f>
        <v>#DIV/0!</v>
      </c>
      <c r="E100" s="26" t="e">
        <f>COUNTIFS(Ведомость!$X$4:$X$43,"=3")/Ведомость!$B$44</f>
        <v>#DIV/0!</v>
      </c>
      <c r="F100" s="26" t="e">
        <f>COUNTIFS(Ведомость!$X$4:$X$43,"=4")/Ведомость!$B$44</f>
        <v>#DIV/0!</v>
      </c>
      <c r="G100" s="26" t="e">
        <f>COUNTIFS(Ведомость!$X$4:$X$43,"=5")/Ведомость!$B$44</f>
        <v>#DIV/0!</v>
      </c>
      <c r="H100" s="26" t="e">
        <f>COUNTIFS(Ведомость!$X$4:$X$43,"=6")/Ведомость!$B$44</f>
        <v>#DIV/0!</v>
      </c>
      <c r="I100" s="26" t="e">
        <f>COUNTIFS(Ведомость!$X$4:$X$43,"=7")/Ведомость!$B$44</f>
        <v>#DIV/0!</v>
      </c>
      <c r="J100" s="26" t="e">
        <f>COUNTIFS(Ведомость!$X$4:$X$43,"=8")/Ведомость!$B$44</f>
        <v>#DIV/0!</v>
      </c>
      <c r="K100" s="26" t="e">
        <f>COUNTIFS(Ведомость!$X$4:$X$43,"=9")/Ведомость!$B$44</f>
        <v>#DIV/0!</v>
      </c>
      <c r="L100" s="26" t="e">
        <f>COUNTIFS(Ведомость!$X$4:$X$43,"=10")/Ведомость!$B$44</f>
        <v>#DIV/0!</v>
      </c>
      <c r="M100" s="26" t="e">
        <f>COUNTIFS(Ведомость!$X$4:$X$43,"=11")/Ведомость!$B$44</f>
        <v>#DIV/0!</v>
      </c>
    </row>
    <row r="101" spans="1:13" ht="16.5" thickTop="1">
      <c r="A101" s="23" t="s">
        <v>24</v>
      </c>
      <c r="B101" s="24">
        <v>12</v>
      </c>
      <c r="C101" s="24">
        <v>13</v>
      </c>
      <c r="D101" s="24">
        <v>14</v>
      </c>
      <c r="E101" s="24">
        <v>15</v>
      </c>
      <c r="F101" s="24">
        <v>16</v>
      </c>
      <c r="G101" s="24">
        <v>17</v>
      </c>
      <c r="H101" s="24">
        <v>18</v>
      </c>
      <c r="I101" s="24">
        <v>19</v>
      </c>
      <c r="J101" s="24">
        <v>20</v>
      </c>
      <c r="K101" s="24">
        <v>21</v>
      </c>
      <c r="L101" s="24">
        <v>22</v>
      </c>
      <c r="M101" s="24">
        <v>23</v>
      </c>
    </row>
    <row r="102" spans="1:13" ht="16.5" thickBot="1">
      <c r="A102" s="22" t="s">
        <v>6</v>
      </c>
      <c r="B102" s="26" t="e">
        <f>COUNTIFS(Ведомость!$X$4:$X$43,"=12")/Ведомость!$B$44</f>
        <v>#DIV/0!</v>
      </c>
      <c r="C102" s="26" t="e">
        <f>COUNTIFS(Ведомость!$X$4:$X$43,"=13")/Ведомость!$B$44</f>
        <v>#DIV/0!</v>
      </c>
      <c r="D102" s="26" t="e">
        <f>COUNTIFS(Ведомость!$X$4:$X$43,"=14")/Ведомость!$B$44</f>
        <v>#DIV/0!</v>
      </c>
      <c r="E102" s="26" t="e">
        <f>COUNTIFS(Ведомость!$X$4:$X$43,"=15")/Ведомость!$B$44</f>
        <v>#DIV/0!</v>
      </c>
      <c r="F102" s="26" t="e">
        <f>COUNTIFS(Ведомость!$X$4:$X$43,"=16")/Ведомость!$B$44</f>
        <v>#DIV/0!</v>
      </c>
      <c r="G102" s="26" t="e">
        <f>COUNTIFS(Ведомость!$X$4:$X$43,"=17")/Ведомость!$B$44</f>
        <v>#DIV/0!</v>
      </c>
      <c r="H102" s="26" t="e">
        <f>COUNTIFS(Ведомость!$X$4:$X$43,"=18")/Ведомость!$B$44</f>
        <v>#DIV/0!</v>
      </c>
      <c r="I102" s="26" t="e">
        <f>COUNTIFS(Ведомость!$X$4:$X$43,"=19")/Ведомость!$B$44</f>
        <v>#DIV/0!</v>
      </c>
      <c r="J102" s="26" t="e">
        <f>COUNTIFS(Ведомость!$X$4:$X$43,"=20")/Ведомость!$B$44</f>
        <v>#DIV/0!</v>
      </c>
      <c r="K102" s="26" t="e">
        <f>COUNTIFS(Ведомость!$X$4:$X$43,"=21")/Ведомость!$B$44</f>
        <v>#DIV/0!</v>
      </c>
      <c r="L102" s="5" t="e">
        <f>COUNTIFS(Ведомость!$X$4:$X$43,"=22")/Ведомость!$B$44</f>
        <v>#DIV/0!</v>
      </c>
      <c r="M102" s="5" t="e">
        <f>COUNTIFS(Ведомость!$X$4:$X$43,"=23")/Ведомость!$B$44</f>
        <v>#DIV/0!</v>
      </c>
    </row>
    <row r="103" spans="1:13" ht="16.5" thickTop="1">
      <c r="A103" s="23" t="s">
        <v>24</v>
      </c>
      <c r="B103" s="24">
        <v>24</v>
      </c>
      <c r="C103" s="24">
        <v>25</v>
      </c>
      <c r="D103" s="24">
        <v>26</v>
      </c>
      <c r="E103" s="24">
        <v>27</v>
      </c>
      <c r="F103" s="24">
        <v>28</v>
      </c>
      <c r="G103" s="24">
        <v>29</v>
      </c>
      <c r="H103" s="24">
        <v>30</v>
      </c>
      <c r="I103" s="24">
        <v>31</v>
      </c>
      <c r="J103" s="24">
        <v>32</v>
      </c>
      <c r="K103" s="25">
        <v>33</v>
      </c>
      <c r="L103" s="44"/>
      <c r="M103" s="44"/>
    </row>
    <row r="104" spans="1:13" ht="16.5" thickBot="1">
      <c r="A104" s="51" t="s">
        <v>6</v>
      </c>
      <c r="B104" s="26" t="e">
        <f>COUNTIFS(Ведомость!$X$4:$X$43,"=24")/Ведомость!$B$44</f>
        <v>#DIV/0!</v>
      </c>
      <c r="C104" s="26" t="e">
        <f>COUNTIFS(Ведомость!$X$4:$X$43,"=25")/Ведомость!$B$44</f>
        <v>#DIV/0!</v>
      </c>
      <c r="D104" s="26" t="e">
        <f>COUNTIFS(Ведомость!$X$4:$X$43,"=26")/Ведомость!$B$44</f>
        <v>#DIV/0!</v>
      </c>
      <c r="E104" s="26" t="e">
        <f>COUNTIFS(Ведомость!$X$4:$X$43,"=27")/Ведомость!$B$44</f>
        <v>#DIV/0!</v>
      </c>
      <c r="F104" s="26" t="e">
        <f>COUNTIFS(Ведомость!$X$4:$X$43,"=28")/Ведомость!$B$44</f>
        <v>#DIV/0!</v>
      </c>
      <c r="G104" s="26" t="e">
        <f>COUNTIFS(Ведомость!$X$4:$X$43,"=29")/Ведомость!$B$44</f>
        <v>#DIV/0!</v>
      </c>
      <c r="H104" s="26" t="e">
        <f>COUNTIFS(Ведомость!$X$4:$X$43,"=30")/Ведомость!$B$44</f>
        <v>#DIV/0!</v>
      </c>
      <c r="I104" s="26" t="e">
        <f>COUNTIFS(Ведомость!$X$4:$X$43,"=31")/Ведомость!$B$44</f>
        <v>#DIV/0!</v>
      </c>
      <c r="J104" s="26" t="e">
        <f>COUNTIFS(Ведомость!$X$4:$X$43,"=32")/Ведомость!$B$44</f>
        <v>#DIV/0!</v>
      </c>
      <c r="K104" s="26" t="e">
        <f>COUNTIFS(Ведомость!$X$4:$X$43,"=33")/Ведомость!$B$44</f>
        <v>#DIV/0!</v>
      </c>
      <c r="L104" s="48"/>
      <c r="M104" s="50"/>
    </row>
    <row r="105" spans="1:13" ht="15.75" thickTop="1"/>
    <row r="106" spans="1:13">
      <c r="A106" s="60"/>
      <c r="B106" s="60"/>
      <c r="C106" s="60"/>
    </row>
    <row r="107" spans="1:13">
      <c r="A107" s="60"/>
      <c r="B107" s="60"/>
      <c r="C107" s="60"/>
    </row>
    <row r="129" spans="1:13" ht="15.75">
      <c r="A129" s="17" t="s">
        <v>37</v>
      </c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</row>
    <row r="130" spans="1:13" ht="15" customHeight="1">
      <c r="A130" s="52" t="s">
        <v>24</v>
      </c>
      <c r="B130" s="3">
        <v>0</v>
      </c>
      <c r="C130" s="3">
        <v>1</v>
      </c>
      <c r="D130" s="3">
        <v>2</v>
      </c>
      <c r="E130" s="3">
        <v>3</v>
      </c>
      <c r="F130" s="3">
        <v>4</v>
      </c>
      <c r="G130" s="3">
        <v>5</v>
      </c>
      <c r="H130" s="3">
        <v>6</v>
      </c>
      <c r="I130" s="3">
        <v>7</v>
      </c>
      <c r="J130" s="3">
        <v>8</v>
      </c>
      <c r="K130" s="3">
        <v>9</v>
      </c>
      <c r="L130" s="3">
        <v>10</v>
      </c>
      <c r="M130" s="3">
        <v>11</v>
      </c>
    </row>
    <row r="131" spans="1:13" ht="15" customHeight="1" thickBot="1">
      <c r="A131" s="22" t="s">
        <v>6</v>
      </c>
      <c r="B131" s="26" t="e">
        <f>COUNTIFS(Ведомость!$Y$4:$Y$43,"=0")/Ведомость!$B$44</f>
        <v>#DIV/0!</v>
      </c>
      <c r="C131" s="26" t="e">
        <f>COUNTIFS(Ведомость!$Y$4:$Y$43,"=1")/Ведомость!$B$44</f>
        <v>#DIV/0!</v>
      </c>
      <c r="D131" s="26" t="e">
        <f>COUNTIFS(Ведомость!$Y$4:$Y$43,"=2")/Ведомость!$B$44</f>
        <v>#DIV/0!</v>
      </c>
      <c r="E131" s="26" t="e">
        <f>COUNTIFS(Ведомость!$Y$4:$Y$43,"=3")/Ведомость!$B$44</f>
        <v>#DIV/0!</v>
      </c>
      <c r="F131" s="26" t="e">
        <f>COUNTIFS(Ведомость!$Y$4:$Y$43,"=4")/Ведомость!$B$44</f>
        <v>#DIV/0!</v>
      </c>
      <c r="G131" s="26" t="e">
        <f>COUNTIFS(Ведомость!$Y$4:$Y$43,"=5")/Ведомость!$B$44</f>
        <v>#DIV/0!</v>
      </c>
      <c r="H131" s="26" t="e">
        <f>COUNTIFS(Ведомость!$Y$4:$Y$43,"=6")/Ведомость!$B$44</f>
        <v>#DIV/0!</v>
      </c>
      <c r="I131" s="26" t="e">
        <f>COUNTIFS(Ведомость!$Y$4:$Y$43,"=7")/Ведомость!$B$44</f>
        <v>#DIV/0!</v>
      </c>
      <c r="J131" s="26" t="e">
        <f>COUNTIFS(Ведомость!$Y$4:$Y$43,"=8")/Ведомость!$B$44</f>
        <v>#DIV/0!</v>
      </c>
      <c r="K131" s="26" t="e">
        <f>COUNTIFS(Ведомость!$Y$4:$Y$43,"=9")/Ведомость!$B$44</f>
        <v>#DIV/0!</v>
      </c>
      <c r="L131" s="26" t="e">
        <f>COUNTIFS(Ведомость!$Y$4:$Y$43,"=10")/Ведомость!$B$44</f>
        <v>#DIV/0!</v>
      </c>
      <c r="M131" s="26" t="e">
        <f>COUNTIFS(Ведомость!$Y$4:$Y$43,"=11")/Ведомость!$B$44</f>
        <v>#DIV/0!</v>
      </c>
    </row>
    <row r="132" spans="1:13" ht="15" customHeight="1" thickTop="1">
      <c r="A132" s="23" t="s">
        <v>24</v>
      </c>
      <c r="B132" s="24">
        <v>12</v>
      </c>
      <c r="C132" s="24">
        <v>13</v>
      </c>
      <c r="D132" s="24">
        <v>14</v>
      </c>
      <c r="E132" s="24">
        <v>15</v>
      </c>
      <c r="F132" s="24">
        <v>16</v>
      </c>
      <c r="G132" s="24">
        <v>17</v>
      </c>
      <c r="H132" s="24">
        <v>18</v>
      </c>
      <c r="I132" s="24">
        <v>19</v>
      </c>
      <c r="J132" s="24">
        <v>20</v>
      </c>
      <c r="K132" s="24">
        <v>21</v>
      </c>
      <c r="L132" s="24">
        <v>22</v>
      </c>
      <c r="M132" s="24">
        <v>23</v>
      </c>
    </row>
    <row r="133" spans="1:13" ht="15" customHeight="1" thickBot="1">
      <c r="A133" s="22" t="s">
        <v>6</v>
      </c>
      <c r="B133" s="26" t="e">
        <f>COUNTIFS(Ведомость!$Y$4:$Y$43,"=12")/Ведомость!$B$44</f>
        <v>#DIV/0!</v>
      </c>
      <c r="C133" s="26" t="e">
        <f>COUNTIFS(Ведомость!$Y$4:$Y$43,"=13")/Ведомость!$B$44</f>
        <v>#DIV/0!</v>
      </c>
      <c r="D133" s="26" t="e">
        <f>COUNTIFS(Ведомость!$Y$4:$Y$43,"=14")/Ведомость!$B$44</f>
        <v>#DIV/0!</v>
      </c>
      <c r="E133" s="26" t="e">
        <f>COUNTIFS(Ведомость!$Y$4:$Y$43,"=15")/Ведомость!$B$44</f>
        <v>#DIV/0!</v>
      </c>
      <c r="F133" s="26" t="e">
        <f>COUNTIFS(Ведомость!$Y$4:$Y$43,"=16")/Ведомость!$B$44</f>
        <v>#DIV/0!</v>
      </c>
      <c r="G133" s="26" t="e">
        <f>COUNTIFS(Ведомость!$Y$4:$Y$43,"=17")/Ведомость!$B$44</f>
        <v>#DIV/0!</v>
      </c>
      <c r="H133" s="26" t="e">
        <f>COUNTIFS(Ведомость!$Y$4:$Y$43,"=18")/Ведомость!$B$44</f>
        <v>#DIV/0!</v>
      </c>
      <c r="I133" s="26" t="e">
        <f>COUNTIFS(Ведомость!$Y$4:$Y$43,"=19")/Ведомость!$B$44</f>
        <v>#DIV/0!</v>
      </c>
      <c r="J133" s="26" t="e">
        <f>COUNTIFS(Ведомость!$Y$4:$Y$43,"=20")/Ведомость!$B$44</f>
        <v>#DIV/0!</v>
      </c>
      <c r="K133" s="26" t="e">
        <f>COUNTIFS(Ведомость!$Y$4:$Y$43,"=21")/Ведомость!$B$44</f>
        <v>#DIV/0!</v>
      </c>
      <c r="L133" s="26" t="e">
        <f>COUNTIFS(Ведомость!$Y$4:$Y$43,"=22")/Ведомость!$B$44</f>
        <v>#DIV/0!</v>
      </c>
      <c r="M133" s="26" t="e">
        <f>COUNTIFS(Ведомость!$Y$4:$Y$43,"=23")/Ведомость!$B$44</f>
        <v>#DIV/0!</v>
      </c>
    </row>
    <row r="134" spans="1:13" ht="15" customHeight="1" thickTop="1">
      <c r="A134" s="23" t="s">
        <v>24</v>
      </c>
      <c r="B134" s="24">
        <v>24</v>
      </c>
      <c r="C134" s="24">
        <v>25</v>
      </c>
      <c r="D134" s="24">
        <v>26</v>
      </c>
      <c r="E134" s="24">
        <v>27</v>
      </c>
      <c r="F134" s="24">
        <v>28</v>
      </c>
      <c r="G134" s="24">
        <v>29</v>
      </c>
      <c r="H134" s="24">
        <v>30</v>
      </c>
      <c r="I134" s="24">
        <v>31</v>
      </c>
      <c r="J134" s="24">
        <v>32</v>
      </c>
      <c r="K134" s="25">
        <v>33</v>
      </c>
      <c r="L134" s="25">
        <v>34</v>
      </c>
      <c r="M134" s="25">
        <v>35</v>
      </c>
    </row>
    <row r="135" spans="1:13" ht="15" customHeight="1" thickBot="1">
      <c r="A135" s="51" t="s">
        <v>6</v>
      </c>
      <c r="B135" s="26" t="e">
        <f>COUNTIFS(Ведомость!$Y$4:$Y$43,"=24")/Ведомость!$B$44</f>
        <v>#DIV/0!</v>
      </c>
      <c r="C135" s="26" t="e">
        <f>COUNTIFS(Ведомость!$Y$4:$Y$43,"=25")/Ведомость!$B$44</f>
        <v>#DIV/0!</v>
      </c>
      <c r="D135" s="26" t="e">
        <f>COUNTIFS(Ведомость!$Y$4:$Y$43,"=26")/Ведомость!$B$44</f>
        <v>#DIV/0!</v>
      </c>
      <c r="E135" s="26" t="e">
        <f>COUNTIFS(Ведомость!$Y$4:$Y$43,"=27")/Ведомость!$B$44</f>
        <v>#DIV/0!</v>
      </c>
      <c r="F135" s="26" t="e">
        <f>COUNTIFS(Ведомость!$Y$4:$Y$43,"=28")/Ведомость!$B$44</f>
        <v>#DIV/0!</v>
      </c>
      <c r="G135" s="26" t="e">
        <f>COUNTIFS(Ведомость!$Y$4:$Y$43,"=29")/Ведомость!$B$44</f>
        <v>#DIV/0!</v>
      </c>
      <c r="H135" s="26" t="e">
        <f>COUNTIFS(Ведомость!$Y$4:$Y$43,"=30")/Ведомость!$B$44</f>
        <v>#DIV/0!</v>
      </c>
      <c r="I135" s="26" t="e">
        <f>COUNTIFS(Ведомость!$Y$4:$Y$43,"=31")/Ведомость!$B$44</f>
        <v>#DIV/0!</v>
      </c>
      <c r="J135" s="26" t="e">
        <f>COUNTIFS(Ведомость!$Y$4:$Y$43,"=32")/Ведомость!$B$44</f>
        <v>#DIV/0!</v>
      </c>
      <c r="K135" s="26" t="e">
        <f>COUNTIFS(Ведомость!$Y$4:$Y$43,"=33")/Ведомость!$B$44</f>
        <v>#DIV/0!</v>
      </c>
      <c r="L135" s="26" t="e">
        <f>COUNTIFS(Ведомость!$Y$4:$Y$43,"=34")/Ведомость!$B$44</f>
        <v>#DIV/0!</v>
      </c>
      <c r="M135" s="26" t="e">
        <f>COUNTIFS(Ведомость!$Y$4:$Y$43,"=35")/Ведомость!$B$44</f>
        <v>#DIV/0!</v>
      </c>
    </row>
    <row r="136" spans="1:13" ht="15" customHeight="1" thickTop="1">
      <c r="A136" s="52" t="s">
        <v>24</v>
      </c>
      <c r="B136" s="3">
        <v>36</v>
      </c>
      <c r="C136" s="3">
        <v>37</v>
      </c>
      <c r="D136" s="3">
        <v>38</v>
      </c>
      <c r="E136" s="3">
        <v>39</v>
      </c>
      <c r="F136" s="3">
        <v>40</v>
      </c>
      <c r="G136" s="3">
        <v>41</v>
      </c>
      <c r="H136" s="3">
        <v>42</v>
      </c>
      <c r="I136" s="3">
        <v>43</v>
      </c>
      <c r="J136" s="3">
        <v>44</v>
      </c>
      <c r="K136" s="3">
        <v>45</v>
      </c>
      <c r="L136" s="3">
        <v>46</v>
      </c>
      <c r="M136" s="3">
        <v>47</v>
      </c>
    </row>
    <row r="137" spans="1:13" ht="15" customHeight="1" thickBot="1">
      <c r="A137" s="22" t="s">
        <v>6</v>
      </c>
      <c r="B137" s="26" t="e">
        <f>COUNTIFS(Ведомость!$Y$4:$Y$43,"=36")/Ведомость!$B$44</f>
        <v>#DIV/0!</v>
      </c>
      <c r="C137" s="26" t="e">
        <f>COUNTIFS(Ведомость!$Y$4:$Y$43,"=37")/Ведомость!$B$44</f>
        <v>#DIV/0!</v>
      </c>
      <c r="D137" s="26" t="e">
        <f>COUNTIFS(Ведомость!$Y$4:$Y$43,"=38")/Ведомость!$B$44</f>
        <v>#DIV/0!</v>
      </c>
      <c r="E137" s="26" t="e">
        <f>COUNTIFS(Ведомость!$Y$4:$Y$43,"=39")/Ведомость!$B$44</f>
        <v>#DIV/0!</v>
      </c>
      <c r="F137" s="26" t="e">
        <f>COUNTIFS(Ведомость!$Y$4:$Y$43,"=40")/Ведомость!$B$44</f>
        <v>#DIV/0!</v>
      </c>
      <c r="G137" s="26" t="e">
        <f>COUNTIFS(Ведомость!$Y$4:$Y$43,"=41")/Ведомость!$B$44</f>
        <v>#DIV/0!</v>
      </c>
      <c r="H137" s="26" t="e">
        <f>COUNTIFS(Ведомость!$Y$4:$Y$43,"=42")/Ведомость!$B$44</f>
        <v>#DIV/0!</v>
      </c>
      <c r="I137" s="26" t="e">
        <f>COUNTIFS(Ведомость!$Y$4:$Y$43,"=43")/Ведомость!$B$44</f>
        <v>#DIV/0!</v>
      </c>
      <c r="J137" s="26" t="e">
        <f>COUNTIFS(Ведомость!$Y$4:$Y$43,"=44")/Ведомость!$B$44</f>
        <v>#DIV/0!</v>
      </c>
      <c r="K137" s="26" t="e">
        <f>COUNTIFS(Ведомость!$Y$4:$Y$43,"=45")/Ведомость!$B$44</f>
        <v>#DIV/0!</v>
      </c>
      <c r="L137" s="26" t="e">
        <f>COUNTIFS(Ведомость!$Y$4:$Y$43,"=46")/Ведомость!$B$44</f>
        <v>#DIV/0!</v>
      </c>
      <c r="M137" s="26" t="e">
        <f>COUNTIFS(Ведомость!$Y$4:$Y$43,"=47")/Ведомость!$B$44</f>
        <v>#DIV/0!</v>
      </c>
    </row>
    <row r="138" spans="1:13" ht="15" customHeight="1" thickTop="1">
      <c r="A138" s="23" t="s">
        <v>24</v>
      </c>
      <c r="B138" s="24">
        <v>48</v>
      </c>
      <c r="C138" s="24">
        <v>49</v>
      </c>
      <c r="D138" s="24">
        <v>50</v>
      </c>
      <c r="E138" s="24">
        <v>51</v>
      </c>
      <c r="F138" s="24">
        <v>52</v>
      </c>
      <c r="G138" s="24">
        <v>53</v>
      </c>
      <c r="H138" s="24">
        <v>54</v>
      </c>
      <c r="I138" s="24">
        <v>55</v>
      </c>
      <c r="J138" s="24">
        <v>56</v>
      </c>
      <c r="K138" s="24">
        <v>57</v>
      </c>
      <c r="L138" s="24">
        <v>58</v>
      </c>
      <c r="M138" s="24">
        <v>59</v>
      </c>
    </row>
    <row r="139" spans="1:13" ht="15" customHeight="1" thickBot="1">
      <c r="A139" s="22" t="s">
        <v>6</v>
      </c>
      <c r="B139" s="26" t="e">
        <f>COUNTIFS(Ведомость!$Y$4:$Y$43,"=48")/Ведомость!$B$44</f>
        <v>#DIV/0!</v>
      </c>
      <c r="C139" s="26" t="e">
        <f>COUNTIFS(Ведомость!$Y$4:$Y$43,"=49")/Ведомость!$B$44</f>
        <v>#DIV/0!</v>
      </c>
      <c r="D139" s="26" t="e">
        <f>COUNTIFS(Ведомость!$Y$4:$Y$43,"=50")/Ведомость!$B$44</f>
        <v>#DIV/0!</v>
      </c>
      <c r="E139" s="26" t="e">
        <f>COUNTIFS(Ведомость!$Y$4:$Y$43,"=51")/Ведомость!$B$44</f>
        <v>#DIV/0!</v>
      </c>
      <c r="F139" s="26" t="e">
        <f>COUNTIFS(Ведомость!$Y$4:$Y$43,"=52")/Ведомость!$B$44</f>
        <v>#DIV/0!</v>
      </c>
      <c r="G139" s="26" t="e">
        <f>COUNTIFS(Ведомость!$Y$4:$Y$43,"=53")/Ведомость!$B$44</f>
        <v>#DIV/0!</v>
      </c>
      <c r="H139" s="26" t="e">
        <f>COUNTIFS(Ведомость!$Y$4:$Y$43,"=54")/Ведомость!$B$44</f>
        <v>#DIV/0!</v>
      </c>
      <c r="I139" s="26" t="e">
        <f>COUNTIFS(Ведомость!$Y$4:$Y$43,"=55")/Ведомость!$B$44</f>
        <v>#DIV/0!</v>
      </c>
      <c r="J139" s="26" t="e">
        <f>COUNTIFS(Ведомость!$Y$4:$Y$43,"=56")/Ведомость!$B$44</f>
        <v>#DIV/0!</v>
      </c>
      <c r="K139" s="26" t="e">
        <f>COUNTIFS(Ведомость!$Y$4:$Y$43,"=57")/Ведомость!$B$44</f>
        <v>#DIV/0!</v>
      </c>
      <c r="L139" s="26" t="e">
        <f>COUNTIFS(Ведомость!$Y$4:$Y$43,"=58")/Ведомость!$B$44</f>
        <v>#DIV/0!</v>
      </c>
      <c r="M139" s="26" t="e">
        <f>COUNTIFS(Ведомость!$Y$4:$Y$43,"=59")/Ведомость!$B$44</f>
        <v>#DIV/0!</v>
      </c>
    </row>
    <row r="140" spans="1:13" ht="15" customHeight="1" thickTop="1">
      <c r="A140" s="23" t="s">
        <v>24</v>
      </c>
      <c r="B140" s="24">
        <v>60</v>
      </c>
      <c r="C140" s="24">
        <v>61</v>
      </c>
      <c r="D140" s="24">
        <v>62</v>
      </c>
      <c r="E140" s="24">
        <v>63</v>
      </c>
      <c r="F140" s="24">
        <v>64</v>
      </c>
      <c r="G140" s="24">
        <v>65</v>
      </c>
      <c r="H140" s="24">
        <v>66</v>
      </c>
      <c r="I140" s="24">
        <v>67</v>
      </c>
      <c r="J140" s="24">
        <v>68</v>
      </c>
      <c r="K140" s="24">
        <v>69</v>
      </c>
      <c r="L140" s="24">
        <v>70</v>
      </c>
      <c r="M140" s="24">
        <v>71</v>
      </c>
    </row>
    <row r="141" spans="1:13" ht="15" customHeight="1" thickBot="1">
      <c r="A141" s="51" t="s">
        <v>6</v>
      </c>
      <c r="B141" s="26" t="e">
        <f>COUNTIFS(Ведомость!$Y$4:$Y$43,"=60")/Ведомость!$B$44</f>
        <v>#DIV/0!</v>
      </c>
      <c r="C141" s="26" t="e">
        <f>COUNTIFS(Ведомость!$Y$4:$Y$43,"=61")/Ведомость!$B$44</f>
        <v>#DIV/0!</v>
      </c>
      <c r="D141" s="26" t="e">
        <f>COUNTIFS(Ведомость!$Y$4:$Y$43,"=62")/Ведомость!$B$44</f>
        <v>#DIV/0!</v>
      </c>
      <c r="E141" s="26" t="e">
        <f>COUNTIFS(Ведомость!$Y$4:$Y$43,"=63")/Ведомость!$B$44</f>
        <v>#DIV/0!</v>
      </c>
      <c r="F141" s="26" t="e">
        <f>COUNTIFS(Ведомость!$Y$4:$Y$43,"=64")/Ведомость!$B$44</f>
        <v>#DIV/0!</v>
      </c>
      <c r="G141" s="26" t="e">
        <f>COUNTIFS(Ведомость!$Y$4:$Y$43,"=65")/Ведомость!$B$44</f>
        <v>#DIV/0!</v>
      </c>
      <c r="H141" s="26" t="e">
        <f>COUNTIFS(Ведомость!$Y$4:$Y$43,"=66")/Ведомость!$B$44</f>
        <v>#DIV/0!</v>
      </c>
      <c r="I141" s="26" t="e">
        <f>COUNTIFS(Ведомость!$Y$4:$Y$43,"=67")/Ведомость!$B$44</f>
        <v>#DIV/0!</v>
      </c>
      <c r="J141" s="26" t="e">
        <f>COUNTIFS(Ведомость!$Y$4:$Y$43,"=68")/Ведомость!$B$44</f>
        <v>#DIV/0!</v>
      </c>
      <c r="K141" s="26" t="e">
        <f>COUNTIFS(Ведомость!$Y$4:$Y$43,"=69")/Ведомость!$B$44</f>
        <v>#DIV/0!</v>
      </c>
      <c r="L141" s="26" t="e">
        <f>COUNTIFS(Ведомость!$Y$4:$Y$43,"=70")/Ведомость!$B$44</f>
        <v>#DIV/0!</v>
      </c>
      <c r="M141" s="26" t="e">
        <f>COUNTIFS(Ведомость!$Y$4:$Y$43,"=71")/Ведомость!$B$44</f>
        <v>#DIV/0!</v>
      </c>
    </row>
    <row r="142" spans="1:13" ht="15" customHeight="1" thickTop="1">
      <c r="A142" s="23" t="s">
        <v>24</v>
      </c>
      <c r="B142" s="24">
        <v>72</v>
      </c>
      <c r="C142" s="24">
        <v>73</v>
      </c>
      <c r="D142" s="24">
        <v>74</v>
      </c>
      <c r="E142" s="24">
        <v>75</v>
      </c>
      <c r="F142" s="24">
        <v>76</v>
      </c>
      <c r="G142" s="24">
        <v>77</v>
      </c>
      <c r="H142" s="24">
        <v>78</v>
      </c>
      <c r="I142" s="24">
        <v>79</v>
      </c>
      <c r="J142" s="24">
        <v>80</v>
      </c>
      <c r="K142" s="24">
        <v>81</v>
      </c>
      <c r="L142" s="24">
        <v>82</v>
      </c>
      <c r="M142" s="24">
        <v>83</v>
      </c>
    </row>
    <row r="143" spans="1:13" ht="15" customHeight="1" thickBot="1">
      <c r="A143" s="22" t="s">
        <v>6</v>
      </c>
      <c r="B143" s="26" t="e">
        <f>COUNTIFS(Ведомость!$Y$4:$Y$43,"=72")/Ведомость!$B$44</f>
        <v>#DIV/0!</v>
      </c>
      <c r="C143" s="26" t="e">
        <f>COUNTIFS(Ведомость!$Y$4:$Y$43,"=73")/Ведомость!$B$44</f>
        <v>#DIV/0!</v>
      </c>
      <c r="D143" s="26" t="e">
        <f>COUNTIFS(Ведомость!$Y$4:$Y$43,"=74")/Ведомость!$B$44</f>
        <v>#DIV/0!</v>
      </c>
      <c r="E143" s="26" t="e">
        <f>COUNTIFS(Ведомость!$Y$4:$Y$43,"=75")/Ведомость!$B$44</f>
        <v>#DIV/0!</v>
      </c>
      <c r="F143" s="26" t="e">
        <f>COUNTIFS(Ведомость!$Y$4:$Y$43,"=76")/Ведомость!$B$44</f>
        <v>#DIV/0!</v>
      </c>
      <c r="G143" s="26" t="e">
        <f>COUNTIFS(Ведомость!$Y$4:$Y$43,"=77")/Ведомость!$B$44</f>
        <v>#DIV/0!</v>
      </c>
      <c r="H143" s="26" t="e">
        <f>COUNTIFS(Ведомость!$Y$4:$Y$43,"=78")/Ведомость!$B$44</f>
        <v>#DIV/0!</v>
      </c>
      <c r="I143" s="26" t="e">
        <f>COUNTIFS(Ведомость!$Y$4:$Y$43,"=79")/Ведомость!$B$44</f>
        <v>#DIV/0!</v>
      </c>
      <c r="J143" s="26" t="e">
        <f>COUNTIFS(Ведомость!$Y$4:$Y$43,"=80")/Ведомость!$B$44</f>
        <v>#DIV/0!</v>
      </c>
      <c r="K143" s="26" t="e">
        <f>COUNTIFS(Ведомость!$Y$4:$Y$43,"=81")/Ведомость!$B$44</f>
        <v>#DIV/0!</v>
      </c>
      <c r="L143" s="26" t="e">
        <f>COUNTIFS(Ведомость!$Y$4:$Y$43,"=82")/Ведомость!$B$44</f>
        <v>#DIV/0!</v>
      </c>
      <c r="M143" s="26" t="e">
        <f>COUNTIFS(Ведомость!$Y$4:$Y$43,"=83")/Ведомость!$B$44</f>
        <v>#DIV/0!</v>
      </c>
    </row>
    <row r="144" spans="1:13" ht="15" customHeight="1" thickTop="1">
      <c r="A144" s="23" t="s">
        <v>24</v>
      </c>
      <c r="B144" s="24">
        <v>84</v>
      </c>
      <c r="C144" s="24">
        <v>85</v>
      </c>
      <c r="D144" s="24">
        <v>86</v>
      </c>
      <c r="E144" s="24">
        <v>87</v>
      </c>
      <c r="F144" s="24">
        <v>88</v>
      </c>
      <c r="G144" s="24">
        <v>89</v>
      </c>
      <c r="H144" s="24">
        <v>90</v>
      </c>
      <c r="I144" s="24">
        <v>91</v>
      </c>
      <c r="J144" s="24">
        <v>92</v>
      </c>
      <c r="K144" s="24">
        <v>93</v>
      </c>
      <c r="L144" s="24">
        <v>94</v>
      </c>
      <c r="M144" s="24">
        <v>95</v>
      </c>
    </row>
    <row r="145" spans="1:13" ht="15" customHeight="1" thickBot="1">
      <c r="A145" s="51" t="s">
        <v>6</v>
      </c>
      <c r="B145" s="26" t="e">
        <f>COUNTIFS(Ведомость!$Y$4:$Y$43,"=84")/Ведомость!$B$44</f>
        <v>#DIV/0!</v>
      </c>
      <c r="C145" s="26" t="e">
        <f>COUNTIFS(Ведомость!$Y$4:$Y$43,"=85")/Ведомость!$B$44</f>
        <v>#DIV/0!</v>
      </c>
      <c r="D145" s="26" t="e">
        <f>COUNTIFS(Ведомость!$Y$4:$Y$43,"=86")/Ведомость!$B$44</f>
        <v>#DIV/0!</v>
      </c>
      <c r="E145" s="26" t="e">
        <f>COUNTIFS(Ведомость!$Y$4:$Y$43,"=87")/Ведомость!$B$44</f>
        <v>#DIV/0!</v>
      </c>
      <c r="F145" s="26" t="e">
        <f>COUNTIFS(Ведомость!$Y$4:$Y$43,"=88")/Ведомость!$B$44</f>
        <v>#DIV/0!</v>
      </c>
      <c r="G145" s="26" t="e">
        <f>COUNTIFS(Ведомость!$Y$4:$Y$43,"=89")/Ведомость!$B$44</f>
        <v>#DIV/0!</v>
      </c>
      <c r="H145" s="26" t="e">
        <f>COUNTIFS(Ведомость!$Y$4:$Y$43,"=90")/Ведомость!$B$44</f>
        <v>#DIV/0!</v>
      </c>
      <c r="I145" s="26" t="e">
        <f>COUNTIFS(Ведомость!$Y$4:$Y$43,"=91")/Ведомость!$B$44</f>
        <v>#DIV/0!</v>
      </c>
      <c r="J145" s="26" t="e">
        <f>COUNTIFS(Ведомость!$Y$4:$Y$43,"=92")/Ведомость!$B$44</f>
        <v>#DIV/0!</v>
      </c>
      <c r="K145" s="26" t="e">
        <f>COUNTIFS(Ведомость!$Y$4:$Y$43,"=93")/Ведомость!$B$44</f>
        <v>#DIV/0!</v>
      </c>
      <c r="L145" s="26" t="e">
        <f>COUNTIFS(Ведомость!$Y$4:$Y$43,"=94")/Ведомость!$B$44</f>
        <v>#DIV/0!</v>
      </c>
      <c r="M145" s="26" t="e">
        <f>COUNTIFS(Ведомость!$Y$4:$Y$43,"=95")/Ведомость!$B$44</f>
        <v>#DIV/0!</v>
      </c>
    </row>
    <row r="146" spans="1:13" ht="16.5" thickTop="1">
      <c r="A146" s="23" t="s">
        <v>24</v>
      </c>
      <c r="B146" s="24">
        <v>96</v>
      </c>
      <c r="C146" s="24">
        <v>97</v>
      </c>
      <c r="D146" s="24">
        <v>98</v>
      </c>
      <c r="E146" s="24">
        <v>99</v>
      </c>
      <c r="F146" s="24">
        <v>100</v>
      </c>
    </row>
    <row r="147" spans="1:13" ht="16.5" thickBot="1">
      <c r="A147" s="51" t="s">
        <v>6</v>
      </c>
      <c r="B147" s="26" t="e">
        <f>COUNTIFS(Ведомость!$Y$4:$Y$43,"=96")/Ведомость!$B$44</f>
        <v>#DIV/0!</v>
      </c>
      <c r="C147" s="26" t="e">
        <f>COUNTIFS(Ведомость!$Y$4:$Y$43,"=97")/Ведомость!$B$44</f>
        <v>#DIV/0!</v>
      </c>
      <c r="D147" s="26" t="e">
        <f>COUNTIFS(Ведомость!$Y$4:$Y$43,"=98")/Ведомость!$B$44</f>
        <v>#DIV/0!</v>
      </c>
      <c r="E147" s="26" t="e">
        <f>COUNTIFS(Ведомость!$Y$4:$Y$43,"=99")/Ведомость!$B$44</f>
        <v>#DIV/0!</v>
      </c>
      <c r="F147" s="26" t="e">
        <f>COUNTIFS(Ведомость!$Y$4:$Y$43,"=100")/Ведомость!$B$44</f>
        <v>#DIV/0!</v>
      </c>
    </row>
    <row r="148" spans="1:13" ht="15.75" thickTop="1"/>
  </sheetData>
  <sheetProtection password="DE97" sheet="1" objects="1" scenarios="1" selectLockedCells="1"/>
  <mergeCells count="21">
    <mergeCell ref="B37:E37"/>
    <mergeCell ref="B67:H67"/>
    <mergeCell ref="H11:I11"/>
    <mergeCell ref="H12:I12"/>
    <mergeCell ref="H13:I13"/>
    <mergeCell ref="A67:A68"/>
    <mergeCell ref="A32:A33"/>
    <mergeCell ref="B32:K32"/>
    <mergeCell ref="A1:M1"/>
    <mergeCell ref="B3:C3"/>
    <mergeCell ref="E3:F3"/>
    <mergeCell ref="G3:M3"/>
    <mergeCell ref="J11:K11"/>
    <mergeCell ref="J12:K12"/>
    <mergeCell ref="J13:K13"/>
    <mergeCell ref="A6:F6"/>
    <mergeCell ref="A37:A38"/>
    <mergeCell ref="J8:K8"/>
    <mergeCell ref="J9:K9"/>
    <mergeCell ref="H8:I8"/>
    <mergeCell ref="H9:I9"/>
  </mergeCells>
  <pageMargins left="0.25" right="0.25" top="0.75" bottom="0.75" header="0.3" footer="0.3"/>
  <pageSetup paperSize="9" orientation="landscape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2:E102"/>
  <sheetViews>
    <sheetView workbookViewId="0">
      <selection activeCell="I95" sqref="I95"/>
    </sheetView>
  </sheetViews>
  <sheetFormatPr defaultRowHeight="15"/>
  <sheetData>
    <row r="2" spans="1:5">
      <c r="A2">
        <v>0</v>
      </c>
      <c r="B2">
        <v>0</v>
      </c>
      <c r="D2">
        <v>0</v>
      </c>
      <c r="E2">
        <v>2</v>
      </c>
    </row>
    <row r="3" spans="1:5">
      <c r="A3">
        <v>1</v>
      </c>
      <c r="B3">
        <v>7</v>
      </c>
      <c r="D3">
        <v>1</v>
      </c>
      <c r="E3">
        <v>2</v>
      </c>
    </row>
    <row r="4" spans="1:5">
      <c r="A4">
        <v>2</v>
      </c>
      <c r="B4">
        <v>13</v>
      </c>
      <c r="D4">
        <v>2</v>
      </c>
      <c r="E4">
        <v>2</v>
      </c>
    </row>
    <row r="5" spans="1:5">
      <c r="A5">
        <v>3</v>
      </c>
      <c r="B5">
        <v>20</v>
      </c>
      <c r="D5">
        <v>3</v>
      </c>
      <c r="E5">
        <v>2</v>
      </c>
    </row>
    <row r="6" spans="1:5">
      <c r="A6">
        <v>4</v>
      </c>
      <c r="B6">
        <v>24</v>
      </c>
      <c r="D6">
        <v>4</v>
      </c>
      <c r="E6">
        <v>2</v>
      </c>
    </row>
    <row r="7" spans="1:5">
      <c r="A7">
        <v>5</v>
      </c>
      <c r="B7">
        <v>28</v>
      </c>
      <c r="D7">
        <v>5</v>
      </c>
      <c r="E7">
        <v>2</v>
      </c>
    </row>
    <row r="8" spans="1:5">
      <c r="A8">
        <v>6</v>
      </c>
      <c r="B8">
        <v>32</v>
      </c>
      <c r="D8">
        <v>6</v>
      </c>
      <c r="E8">
        <v>2</v>
      </c>
    </row>
    <row r="9" spans="1:5">
      <c r="A9">
        <v>7</v>
      </c>
      <c r="B9">
        <v>36</v>
      </c>
      <c r="D9">
        <v>7</v>
      </c>
      <c r="E9">
        <v>2</v>
      </c>
    </row>
    <row r="10" spans="1:5">
      <c r="A10">
        <v>8</v>
      </c>
      <c r="B10">
        <v>40</v>
      </c>
      <c r="D10">
        <v>8</v>
      </c>
      <c r="E10">
        <v>2</v>
      </c>
    </row>
    <row r="11" spans="1:5">
      <c r="A11">
        <v>9</v>
      </c>
      <c r="B11">
        <v>44</v>
      </c>
      <c r="D11">
        <v>9</v>
      </c>
      <c r="E11">
        <v>2</v>
      </c>
    </row>
    <row r="12" spans="1:5">
      <c r="A12">
        <v>10</v>
      </c>
      <c r="B12">
        <v>48</v>
      </c>
      <c r="D12">
        <v>10</v>
      </c>
      <c r="E12">
        <v>2</v>
      </c>
    </row>
    <row r="13" spans="1:5">
      <c r="A13">
        <v>11</v>
      </c>
      <c r="B13">
        <v>52</v>
      </c>
      <c r="D13">
        <v>11</v>
      </c>
      <c r="E13">
        <v>2</v>
      </c>
    </row>
    <row r="14" spans="1:5">
      <c r="A14">
        <v>12</v>
      </c>
      <c r="B14">
        <v>56</v>
      </c>
      <c r="D14">
        <v>12</v>
      </c>
      <c r="E14">
        <v>2</v>
      </c>
    </row>
    <row r="15" spans="1:5">
      <c r="A15">
        <v>13</v>
      </c>
      <c r="B15">
        <v>60</v>
      </c>
      <c r="D15">
        <v>13</v>
      </c>
      <c r="E15">
        <v>2</v>
      </c>
    </row>
    <row r="16" spans="1:5">
      <c r="A16">
        <v>14</v>
      </c>
      <c r="B16">
        <v>64</v>
      </c>
      <c r="D16">
        <v>14</v>
      </c>
      <c r="E16">
        <v>2</v>
      </c>
    </row>
    <row r="17" spans="1:5">
      <c r="A17">
        <v>15</v>
      </c>
      <c r="B17">
        <v>68</v>
      </c>
      <c r="D17">
        <v>15</v>
      </c>
      <c r="E17">
        <v>2</v>
      </c>
    </row>
    <row r="18" spans="1:5">
      <c r="A18">
        <v>16</v>
      </c>
      <c r="B18">
        <v>70</v>
      </c>
      <c r="D18">
        <v>16</v>
      </c>
      <c r="E18">
        <v>2</v>
      </c>
    </row>
    <row r="19" spans="1:5">
      <c r="A19">
        <v>17</v>
      </c>
      <c r="B19">
        <v>72</v>
      </c>
      <c r="D19">
        <v>17</v>
      </c>
      <c r="E19">
        <v>2</v>
      </c>
    </row>
    <row r="20" spans="1:5">
      <c r="A20">
        <v>18</v>
      </c>
      <c r="B20">
        <v>73</v>
      </c>
      <c r="D20">
        <v>18</v>
      </c>
      <c r="E20">
        <v>2</v>
      </c>
    </row>
    <row r="21" spans="1:5">
      <c r="A21">
        <v>19</v>
      </c>
      <c r="B21">
        <v>75</v>
      </c>
      <c r="D21">
        <v>19</v>
      </c>
      <c r="E21">
        <v>2</v>
      </c>
    </row>
    <row r="22" spans="1:5">
      <c r="A22">
        <v>20</v>
      </c>
      <c r="B22">
        <v>77</v>
      </c>
      <c r="D22">
        <v>20</v>
      </c>
      <c r="E22">
        <v>2</v>
      </c>
    </row>
    <row r="23" spans="1:5">
      <c r="A23">
        <v>21</v>
      </c>
      <c r="B23">
        <v>79</v>
      </c>
      <c r="D23">
        <v>21</v>
      </c>
      <c r="E23">
        <v>2</v>
      </c>
    </row>
    <row r="24" spans="1:5">
      <c r="A24">
        <v>22</v>
      </c>
      <c r="B24">
        <v>80</v>
      </c>
      <c r="D24">
        <v>22</v>
      </c>
      <c r="E24">
        <v>2</v>
      </c>
    </row>
    <row r="25" spans="1:5">
      <c r="A25">
        <v>23</v>
      </c>
      <c r="B25">
        <v>82</v>
      </c>
      <c r="D25">
        <v>23</v>
      </c>
      <c r="E25">
        <v>2</v>
      </c>
    </row>
    <row r="26" spans="1:5">
      <c r="A26">
        <v>24</v>
      </c>
      <c r="B26">
        <v>84</v>
      </c>
      <c r="D26">
        <v>24</v>
      </c>
      <c r="E26">
        <v>2</v>
      </c>
    </row>
    <row r="27" spans="1:5">
      <c r="A27">
        <v>25</v>
      </c>
      <c r="B27">
        <v>86</v>
      </c>
      <c r="D27">
        <v>25</v>
      </c>
      <c r="E27">
        <v>2</v>
      </c>
    </row>
    <row r="28" spans="1:5">
      <c r="A28">
        <v>26</v>
      </c>
      <c r="B28">
        <v>88</v>
      </c>
      <c r="D28">
        <v>26</v>
      </c>
      <c r="E28">
        <v>2</v>
      </c>
    </row>
    <row r="29" spans="1:5">
      <c r="A29">
        <v>27</v>
      </c>
      <c r="B29">
        <v>89</v>
      </c>
      <c r="D29">
        <v>27</v>
      </c>
      <c r="E29">
        <v>3</v>
      </c>
    </row>
    <row r="30" spans="1:5">
      <c r="A30">
        <v>28</v>
      </c>
      <c r="B30">
        <v>91</v>
      </c>
      <c r="D30">
        <v>28</v>
      </c>
      <c r="E30">
        <v>3</v>
      </c>
    </row>
    <row r="31" spans="1:5">
      <c r="A31">
        <v>29</v>
      </c>
      <c r="B31">
        <v>93</v>
      </c>
      <c r="D31">
        <v>29</v>
      </c>
      <c r="E31">
        <v>3</v>
      </c>
    </row>
    <row r="32" spans="1:5">
      <c r="A32">
        <v>30</v>
      </c>
      <c r="B32">
        <v>95</v>
      </c>
      <c r="D32">
        <v>30</v>
      </c>
      <c r="E32">
        <v>3</v>
      </c>
    </row>
    <row r="33" spans="1:5">
      <c r="A33">
        <v>31</v>
      </c>
      <c r="B33">
        <v>96</v>
      </c>
      <c r="D33">
        <v>31</v>
      </c>
      <c r="E33">
        <v>3</v>
      </c>
    </row>
    <row r="34" spans="1:5">
      <c r="A34">
        <v>32</v>
      </c>
      <c r="B34">
        <v>98</v>
      </c>
      <c r="D34">
        <v>32</v>
      </c>
      <c r="E34">
        <v>3</v>
      </c>
    </row>
    <row r="35" spans="1:5">
      <c r="A35">
        <v>33</v>
      </c>
      <c r="B35">
        <v>100</v>
      </c>
      <c r="D35">
        <v>33</v>
      </c>
      <c r="E35">
        <v>3</v>
      </c>
    </row>
    <row r="36" spans="1:5">
      <c r="D36">
        <v>34</v>
      </c>
      <c r="E36">
        <v>3</v>
      </c>
    </row>
    <row r="37" spans="1:5">
      <c r="D37">
        <v>35</v>
      </c>
      <c r="E37">
        <v>3</v>
      </c>
    </row>
    <row r="38" spans="1:5">
      <c r="D38">
        <v>36</v>
      </c>
      <c r="E38">
        <v>3</v>
      </c>
    </row>
    <row r="39" spans="1:5">
      <c r="D39">
        <v>37</v>
      </c>
      <c r="E39">
        <v>3</v>
      </c>
    </row>
    <row r="40" spans="1:5">
      <c r="D40">
        <v>38</v>
      </c>
      <c r="E40">
        <v>3</v>
      </c>
    </row>
    <row r="41" spans="1:5">
      <c r="D41">
        <v>39</v>
      </c>
      <c r="E41">
        <v>3</v>
      </c>
    </row>
    <row r="42" spans="1:5">
      <c r="D42">
        <v>40</v>
      </c>
      <c r="E42">
        <v>3</v>
      </c>
    </row>
    <row r="43" spans="1:5">
      <c r="D43">
        <v>41</v>
      </c>
      <c r="E43">
        <v>3</v>
      </c>
    </row>
    <row r="44" spans="1:5">
      <c r="D44">
        <v>42</v>
      </c>
      <c r="E44">
        <v>3</v>
      </c>
    </row>
    <row r="45" spans="1:5">
      <c r="D45">
        <v>43</v>
      </c>
      <c r="E45">
        <v>3</v>
      </c>
    </row>
    <row r="46" spans="1:5">
      <c r="D46">
        <v>44</v>
      </c>
      <c r="E46">
        <v>3</v>
      </c>
    </row>
    <row r="47" spans="1:5">
      <c r="D47">
        <v>45</v>
      </c>
      <c r="E47">
        <v>3</v>
      </c>
    </row>
    <row r="48" spans="1:5">
      <c r="D48">
        <v>46</v>
      </c>
      <c r="E48">
        <v>3</v>
      </c>
    </row>
    <row r="49" spans="4:5">
      <c r="D49">
        <v>47</v>
      </c>
      <c r="E49">
        <v>4</v>
      </c>
    </row>
    <row r="50" spans="4:5">
      <c r="D50">
        <v>48</v>
      </c>
      <c r="E50">
        <v>4</v>
      </c>
    </row>
    <row r="51" spans="4:5">
      <c r="D51">
        <v>49</v>
      </c>
      <c r="E51">
        <v>4</v>
      </c>
    </row>
    <row r="52" spans="4:5">
      <c r="D52">
        <v>50</v>
      </c>
      <c r="E52">
        <v>4</v>
      </c>
    </row>
    <row r="53" spans="4:5">
      <c r="D53">
        <v>51</v>
      </c>
      <c r="E53">
        <v>4</v>
      </c>
    </row>
    <row r="54" spans="4:5">
      <c r="D54">
        <v>52</v>
      </c>
      <c r="E54">
        <v>4</v>
      </c>
    </row>
    <row r="55" spans="4:5">
      <c r="D55">
        <v>53</v>
      </c>
      <c r="E55">
        <v>4</v>
      </c>
    </row>
    <row r="56" spans="4:5">
      <c r="D56">
        <v>54</v>
      </c>
      <c r="E56">
        <v>4</v>
      </c>
    </row>
    <row r="57" spans="4:5">
      <c r="D57">
        <v>55</v>
      </c>
      <c r="E57">
        <v>4</v>
      </c>
    </row>
    <row r="58" spans="4:5">
      <c r="D58">
        <v>56</v>
      </c>
      <c r="E58">
        <v>4</v>
      </c>
    </row>
    <row r="59" spans="4:5">
      <c r="D59">
        <v>57</v>
      </c>
      <c r="E59">
        <v>4</v>
      </c>
    </row>
    <row r="60" spans="4:5">
      <c r="D60">
        <v>58</v>
      </c>
      <c r="E60">
        <v>4</v>
      </c>
    </row>
    <row r="61" spans="4:5">
      <c r="D61">
        <v>59</v>
      </c>
      <c r="E61">
        <v>4</v>
      </c>
    </row>
    <row r="62" spans="4:5">
      <c r="D62">
        <v>60</v>
      </c>
      <c r="E62">
        <v>4</v>
      </c>
    </row>
    <row r="63" spans="4:5">
      <c r="D63">
        <v>61</v>
      </c>
      <c r="E63">
        <v>4</v>
      </c>
    </row>
    <row r="64" spans="4:5">
      <c r="D64">
        <v>62</v>
      </c>
      <c r="E64">
        <v>4</v>
      </c>
    </row>
    <row r="65" spans="4:5">
      <c r="D65">
        <v>63</v>
      </c>
      <c r="E65">
        <v>4</v>
      </c>
    </row>
    <row r="66" spans="4:5">
      <c r="D66">
        <v>64</v>
      </c>
      <c r="E66">
        <v>4</v>
      </c>
    </row>
    <row r="67" spans="4:5">
      <c r="D67">
        <v>65</v>
      </c>
      <c r="E67">
        <v>5</v>
      </c>
    </row>
    <row r="68" spans="4:5">
      <c r="D68">
        <v>66</v>
      </c>
      <c r="E68">
        <v>5</v>
      </c>
    </row>
    <row r="69" spans="4:5">
      <c r="D69">
        <v>67</v>
      </c>
      <c r="E69">
        <v>5</v>
      </c>
    </row>
    <row r="70" spans="4:5">
      <c r="D70">
        <v>68</v>
      </c>
      <c r="E70">
        <v>5</v>
      </c>
    </row>
    <row r="71" spans="4:5">
      <c r="D71">
        <v>69</v>
      </c>
      <c r="E71">
        <v>5</v>
      </c>
    </row>
    <row r="72" spans="4:5">
      <c r="D72">
        <v>70</v>
      </c>
      <c r="E72">
        <v>5</v>
      </c>
    </row>
    <row r="73" spans="4:5">
      <c r="D73">
        <v>71</v>
      </c>
      <c r="E73">
        <v>5</v>
      </c>
    </row>
    <row r="74" spans="4:5">
      <c r="D74">
        <v>72</v>
      </c>
      <c r="E74">
        <v>5</v>
      </c>
    </row>
    <row r="75" spans="4:5">
      <c r="D75">
        <v>73</v>
      </c>
      <c r="E75">
        <v>5</v>
      </c>
    </row>
    <row r="76" spans="4:5">
      <c r="D76">
        <v>74</v>
      </c>
      <c r="E76">
        <v>5</v>
      </c>
    </row>
    <row r="77" spans="4:5">
      <c r="D77">
        <v>75</v>
      </c>
      <c r="E77">
        <v>5</v>
      </c>
    </row>
    <row r="78" spans="4:5">
      <c r="D78">
        <v>76</v>
      </c>
      <c r="E78">
        <v>5</v>
      </c>
    </row>
    <row r="79" spans="4:5">
      <c r="D79">
        <v>77</v>
      </c>
      <c r="E79">
        <v>5</v>
      </c>
    </row>
    <row r="80" spans="4:5">
      <c r="D80">
        <v>78</v>
      </c>
      <c r="E80">
        <v>5</v>
      </c>
    </row>
    <row r="81" spans="4:5">
      <c r="D81">
        <v>79</v>
      </c>
      <c r="E81">
        <v>5</v>
      </c>
    </row>
    <row r="82" spans="4:5">
      <c r="D82">
        <v>80</v>
      </c>
      <c r="E82">
        <v>5</v>
      </c>
    </row>
    <row r="83" spans="4:5">
      <c r="D83">
        <v>81</v>
      </c>
      <c r="E83">
        <v>5</v>
      </c>
    </row>
    <row r="84" spans="4:5">
      <c r="D84">
        <v>82</v>
      </c>
      <c r="E84">
        <v>5</v>
      </c>
    </row>
    <row r="85" spans="4:5">
      <c r="D85">
        <v>83</v>
      </c>
      <c r="E85">
        <v>5</v>
      </c>
    </row>
    <row r="86" spans="4:5">
      <c r="D86">
        <v>84</v>
      </c>
      <c r="E86">
        <v>5</v>
      </c>
    </row>
    <row r="87" spans="4:5">
      <c r="D87">
        <v>85</v>
      </c>
      <c r="E87">
        <v>5</v>
      </c>
    </row>
    <row r="88" spans="4:5">
      <c r="D88">
        <v>86</v>
      </c>
      <c r="E88">
        <v>5</v>
      </c>
    </row>
    <row r="89" spans="4:5">
      <c r="D89">
        <v>87</v>
      </c>
      <c r="E89">
        <v>5</v>
      </c>
    </row>
    <row r="90" spans="4:5">
      <c r="D90">
        <v>88</v>
      </c>
      <c r="E90">
        <v>5</v>
      </c>
    </row>
    <row r="91" spans="4:5">
      <c r="D91">
        <v>89</v>
      </c>
      <c r="E91">
        <v>5</v>
      </c>
    </row>
    <row r="92" spans="4:5">
      <c r="D92">
        <v>90</v>
      </c>
      <c r="E92">
        <v>5</v>
      </c>
    </row>
    <row r="93" spans="4:5">
      <c r="D93">
        <v>91</v>
      </c>
      <c r="E93">
        <v>5</v>
      </c>
    </row>
    <row r="94" spans="4:5">
      <c r="D94">
        <v>92</v>
      </c>
      <c r="E94">
        <v>5</v>
      </c>
    </row>
    <row r="95" spans="4:5">
      <c r="D95">
        <v>93</v>
      </c>
      <c r="E95">
        <v>5</v>
      </c>
    </row>
    <row r="96" spans="4:5">
      <c r="D96">
        <v>94</v>
      </c>
      <c r="E96">
        <v>5</v>
      </c>
    </row>
    <row r="97" spans="4:5">
      <c r="D97">
        <v>95</v>
      </c>
      <c r="E97">
        <v>5</v>
      </c>
    </row>
    <row r="98" spans="4:5">
      <c r="D98">
        <v>96</v>
      </c>
      <c r="E98">
        <v>5</v>
      </c>
    </row>
    <row r="99" spans="4:5">
      <c r="D99">
        <v>97</v>
      </c>
      <c r="E99">
        <v>5</v>
      </c>
    </row>
    <row r="100" spans="4:5">
      <c r="D100">
        <v>98</v>
      </c>
      <c r="E100">
        <v>5</v>
      </c>
    </row>
    <row r="101" spans="4:5">
      <c r="D101">
        <v>99</v>
      </c>
      <c r="E101">
        <v>5</v>
      </c>
    </row>
    <row r="102" spans="4:5">
      <c r="D102">
        <v>100</v>
      </c>
      <c r="E102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Ведомость</vt:lpstr>
      <vt:lpstr>Отчет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2015-01-17T14:38:33Z</cp:lastPrinted>
  <dcterms:created xsi:type="dcterms:W3CDTF">2015-01-16T14:46:57Z</dcterms:created>
  <dcterms:modified xsi:type="dcterms:W3CDTF">2015-01-24T08:43:35Z</dcterms:modified>
</cp:coreProperties>
</file>